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https://rsaprahotmail-my.sharepoint.com/personal/rishi_learndatainsights_com/Documents/02-MY COMMUNITY CONTENT/2-0 Community Events/2026/05_May/Accountex/Demos/Salary Accruals/"/>
    </mc:Choice>
  </mc:AlternateContent>
  <xr:revisionPtr revIDLastSave="1462" documentId="8_{B7A6FB36-D167-FB46-ABDD-649F70EC9253}" xr6:coauthVersionLast="47" xr6:coauthVersionMax="47" xr10:uidLastSave="{4B333B7F-36B0-4D73-97EB-F896E255720A}"/>
  <bookViews>
    <workbookView xWindow="-120" yWindow="-120" windowWidth="19440" windowHeight="10320" activeTab="1" xr2:uid="{AD11321E-064B-E746-8346-F7462AC7A756}"/>
  </bookViews>
  <sheets>
    <sheet name="Claude Log" sheetId="8" r:id="rId1"/>
    <sheet name="Implementation Plan" sheetId="7" r:id="rId2"/>
    <sheet name="General Ledger" sheetId="1" r:id="rId3"/>
    <sheet name="Bank Statement" sheetId="2" r:id="rId4"/>
    <sheet name="Staff List" sheetId="4" r:id="rId5"/>
    <sheet name="Calcs_Original" sheetId="5" r:id="rId6"/>
    <sheet name="Journal_Original" sheetId="3" r:id="rId7"/>
    <sheet name="Calcs" sheetId="9" r:id="rId8"/>
    <sheet name="Journal" sheetId="10" r:id="rId9"/>
  </sheets>
  <definedNames>
    <definedName name="_xlnm._FilterDatabase" localSheetId="2" hidden="1">'General Ledger'!$A$1:$G$5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00" i="10" l="1" a="1"/>
  <c r="F100" i="10" a="1"/>
  <c r="F100" i="10" s="1"/>
  <c r="E100" i="10" a="1"/>
  <c r="E100" i="10" s="1"/>
  <c r="D100" i="10" a="1"/>
  <c r="D100" i="10" s="1"/>
  <c r="C100" i="10" a="1"/>
  <c r="C100" i="10" s="1"/>
  <c r="B100" i="10" a="1"/>
  <c r="B100" i="10" s="1"/>
  <c r="A100" i="10" a="1"/>
  <c r="A100" i="10" s="1"/>
  <c r="G51" i="10" a="1"/>
  <c r="G51" i="10" s="1"/>
  <c r="F51" i="10" a="1"/>
  <c r="F51" i="10" s="1"/>
  <c r="E51" i="10" a="1"/>
  <c r="E51" i="10" s="1"/>
  <c r="D51" i="10" a="1"/>
  <c r="D51" i="10" s="1"/>
  <c r="I51" i="10" a="1"/>
  <c r="I51" i="10" s="1"/>
  <c r="C51" i="10" a="1"/>
  <c r="C51" i="10" s="1"/>
  <c r="B51" i="10" a="1"/>
  <c r="B51" i="10" s="1"/>
  <c r="A51" i="10" a="1"/>
  <c r="A51" i="10" s="1"/>
  <c r="G7" i="10" a="1"/>
  <c r="G7" i="10" s="1"/>
  <c r="F7" i="10" a="1"/>
  <c r="F7" i="10" s="1"/>
  <c r="E7" i="10" a="1"/>
  <c r="E7" i="10" s="1"/>
  <c r="D7" i="10" a="1"/>
  <c r="D7" i="10" s="1"/>
  <c r="I7" i="10" a="1"/>
  <c r="I7" i="10" s="1"/>
  <c r="C7" i="10" a="1"/>
  <c r="C7" i="10" s="1"/>
  <c r="B7" i="10" a="1"/>
  <c r="B7" i="10" s="1"/>
  <c r="A7" i="10" a="1"/>
  <c r="A7" i="10" s="1"/>
  <c r="B26" i="9" a="1"/>
  <c r="B26" i="9" s="1"/>
  <c r="A26" i="9" a="1"/>
  <c r="A26" i="9" s="1"/>
  <c r="B25" i="9" a="1"/>
  <c r="B25" i="9" s="1"/>
  <c r="B19" i="9" a="1"/>
  <c r="B19" i="9" s="1"/>
  <c r="A19" i="9" a="1"/>
  <c r="A19" i="9" s="1"/>
  <c r="B18" i="9" a="1"/>
  <c r="B18" i="9" s="1"/>
  <c r="B12" i="9" a="1"/>
  <c r="B12" i="9" s="1"/>
  <c r="A12" i="9" a="1"/>
  <c r="A12" i="9" s="1"/>
  <c r="B11" i="9" a="1"/>
  <c r="B11" i="9" s="1"/>
  <c r="H6" i="9" a="1"/>
  <c r="H6" i="9" s="1"/>
  <c r="F6" i="9" a="1"/>
  <c r="F6" i="9" s="1"/>
  <c r="E6" i="9" a="1"/>
  <c r="E6" i="9" s="1"/>
  <c r="D6" i="9" a="1"/>
  <c r="D6" i="9" s="1"/>
  <c r="C6" i="9" a="1"/>
  <c r="C6" i="9" s="1"/>
  <c r="B6" i="9" a="1"/>
  <c r="B6" i="9" s="1"/>
  <c r="A6" i="9" a="1"/>
  <c r="A6" i="9" s="1"/>
  <c r="I29" i="3"/>
  <c r="G29" i="3" s="1"/>
  <c r="I28" i="3"/>
  <c r="G28" i="3" s="1"/>
  <c r="I27" i="3"/>
  <c r="G27" i="3" s="1"/>
  <c r="I26" i="3"/>
  <c r="G26" i="3" s="1"/>
  <c r="I25" i="3"/>
  <c r="E25" i="3" s="1"/>
  <c r="I24" i="3"/>
  <c r="F24" i="3" s="1"/>
  <c r="I23" i="3"/>
  <c r="F23" i="3" s="1"/>
  <c r="I22" i="3"/>
  <c r="G22" i="3" s="1"/>
  <c r="I9" i="3"/>
  <c r="G9" i="3" s="1"/>
  <c r="I10" i="3"/>
  <c r="G10" i="3" s="1"/>
  <c r="I11" i="3"/>
  <c r="G11" i="3" s="1"/>
  <c r="I12" i="3"/>
  <c r="G12" i="3" s="1"/>
  <c r="I13" i="3"/>
  <c r="D13" i="3" s="1"/>
  <c r="I14" i="3"/>
  <c r="D14" i="3" s="1"/>
  <c r="I15" i="3"/>
  <c r="D15" i="3" s="1"/>
  <c r="I8" i="3"/>
  <c r="E8" i="3" s="1"/>
  <c r="H5" i="5"/>
  <c r="H4" i="5"/>
  <c r="A4" i="5" a="1"/>
  <c r="A4" i="5" s="1"/>
  <c r="Q4" i="5" s="1"/>
  <c r="C7" i="2"/>
  <c r="C8" i="2" s="1"/>
  <c r="C9" i="2" s="1"/>
  <c r="C3" i="2"/>
  <c r="C4" i="2" s="1"/>
  <c r="C5" i="2" s="1"/>
  <c r="G100" i="10" l="1"/>
  <c r="G97" i="10"/>
  <c r="F97" i="10"/>
  <c r="H97" i="10" s="1"/>
  <c r="G32" i="3"/>
  <c r="D8" i="3"/>
  <c r="E12" i="3"/>
  <c r="F8" i="3"/>
  <c r="G8" i="3"/>
  <c r="D22" i="3"/>
  <c r="E22" i="3"/>
  <c r="D12" i="3"/>
  <c r="F15" i="3"/>
  <c r="G15" i="3"/>
  <c r="D29" i="3"/>
  <c r="E29" i="3"/>
  <c r="E15" i="3"/>
  <c r="E11" i="3"/>
  <c r="F14" i="3"/>
  <c r="G14" i="3"/>
  <c r="D28" i="3"/>
  <c r="E28" i="3"/>
  <c r="F22" i="3"/>
  <c r="D11" i="3"/>
  <c r="F13" i="3"/>
  <c r="G13" i="3"/>
  <c r="D27" i="3"/>
  <c r="E27" i="3"/>
  <c r="F28" i="3"/>
  <c r="E14" i="3"/>
  <c r="E10" i="3"/>
  <c r="F12" i="3"/>
  <c r="D26" i="3"/>
  <c r="E26" i="3"/>
  <c r="D10" i="3"/>
  <c r="F11" i="3"/>
  <c r="D25" i="3"/>
  <c r="G24" i="3"/>
  <c r="E13" i="3"/>
  <c r="E9" i="3"/>
  <c r="F10" i="3"/>
  <c r="D24" i="3"/>
  <c r="E24" i="3"/>
  <c r="D9" i="3"/>
  <c r="F9" i="3"/>
  <c r="D23" i="3"/>
  <c r="E23" i="3"/>
  <c r="F27" i="3"/>
  <c r="F25" i="3"/>
  <c r="G23" i="3"/>
  <c r="F29" i="3"/>
  <c r="G25" i="3"/>
  <c r="F26" i="3"/>
  <c r="Q5" i="5"/>
  <c r="N4" i="5"/>
  <c r="O4" i="5"/>
  <c r="P4" i="5"/>
  <c r="N5" i="5"/>
  <c r="O5" i="5"/>
  <c r="P5" i="5"/>
  <c r="J4" i="5"/>
  <c r="K4" i="5"/>
  <c r="L4" i="5"/>
  <c r="V4" i="5" s="1"/>
  <c r="J5" i="5"/>
  <c r="I4" i="5"/>
  <c r="K5" i="5"/>
  <c r="I5" i="5"/>
  <c r="L5" i="5"/>
  <c r="F32" i="3" l="1"/>
  <c r="H32" i="3" s="1"/>
  <c r="T5" i="5"/>
  <c r="V5" i="5"/>
  <c r="U5" i="5"/>
  <c r="S4" i="5"/>
  <c r="T4" i="5"/>
  <c r="S5" i="5"/>
  <c r="U4"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<sst xmlns="http://schemas.openxmlformats.org/spreadsheetml/2006/main" count="427" uniqueCount="275">
  <si>
    <t>Period</t>
  </si>
  <si>
    <t>Posted Date</t>
  </si>
  <si>
    <t xml:space="preserve">Transaction Source </t>
  </si>
  <si>
    <t>##</t>
  </si>
  <si>
    <t>5000 - Salary and wages</t>
  </si>
  <si>
    <t>Salary for Financial Controller Fixed Fee contract</t>
  </si>
  <si>
    <t>PR</t>
  </si>
  <si>
    <t>Bank Account</t>
  </si>
  <si>
    <t>Posted</t>
  </si>
  <si>
    <t>Text</t>
  </si>
  <si>
    <t>Currency</t>
  </si>
  <si>
    <t>Bank account amt</t>
  </si>
  <si>
    <t>Barclays Business Bank Account</t>
  </si>
  <si>
    <t>Jul/2025</t>
  </si>
  <si>
    <t>GBP</t>
  </si>
  <si>
    <t>Aug/2025</t>
  </si>
  <si>
    <t>Sep/2025</t>
  </si>
  <si>
    <t>Oct/2025</t>
  </si>
  <si>
    <t>Company</t>
  </si>
  <si>
    <t>Cost Centre</t>
  </si>
  <si>
    <t>Account</t>
  </si>
  <si>
    <t>Account Description</t>
  </si>
  <si>
    <t>Debit</t>
  </si>
  <si>
    <t>Credit</t>
  </si>
  <si>
    <t>Accrued Salary Cost</t>
  </si>
  <si>
    <t>Description</t>
  </si>
  <si>
    <t>Amount</t>
  </si>
  <si>
    <t>Role</t>
  </si>
  <si>
    <t>Financial Controller</t>
  </si>
  <si>
    <t>Company Code</t>
  </si>
  <si>
    <t>Salary for Financial Analyst Fixed Fee contract</t>
  </si>
  <si>
    <t>1000-Marketing Expenses</t>
  </si>
  <si>
    <t>Cost for LinkedIn Sales Navigator</t>
  </si>
  <si>
    <t>Financial Analyst</t>
  </si>
  <si>
    <t>Personnel No</t>
  </si>
  <si>
    <t>First Name</t>
  </si>
  <si>
    <t>Surname</t>
  </si>
  <si>
    <t>John</t>
  </si>
  <si>
    <t>Smith</t>
  </si>
  <si>
    <t>Jane</t>
  </si>
  <si>
    <t>Meadows</t>
  </si>
  <si>
    <t>Contractual Payment (GL)</t>
  </si>
  <si>
    <t>Actual Payment (Bank)</t>
  </si>
  <si>
    <t>Difference</t>
  </si>
  <si>
    <t>Salary Payment-Jane Meadows</t>
  </si>
  <si>
    <t>Salary Payment-John Smith</t>
  </si>
  <si>
    <t>Journal</t>
  </si>
  <si>
    <t>Workings</t>
  </si>
  <si>
    <t>Combo</t>
  </si>
  <si>
    <t>Total Amount</t>
  </si>
  <si>
    <t>Income Statement Accounts</t>
  </si>
  <si>
    <t>Balance Sheet Accounts</t>
  </si>
  <si>
    <t>Combined</t>
  </si>
  <si>
    <t>Check</t>
  </si>
  <si>
    <t>Salary Overpayment Credit</t>
  </si>
  <si>
    <t>Unpaid Salary Accrual</t>
  </si>
  <si>
    <t>Salary Overpayment Prepayment</t>
  </si>
  <si>
    <t>ß∂</t>
  </si>
  <si>
    <t>Implementation Plan — Salary Accruals Calcs &amp; Journal</t>
  </si>
  <si>
    <t>Front Matter</t>
  </si>
  <si>
    <t>goal</t>
  </si>
  <si>
    <t>version</t>
  </si>
  <si>
    <t>date_created</t>
  </si>
  <si>
    <t>owner</t>
  </si>
  <si>
    <t>Finance / FP&amp;A</t>
  </si>
  <si>
    <t>status</t>
  </si>
  <si>
    <t>Planned</t>
  </si>
  <si>
    <t>tags</t>
  </si>
  <si>
    <t>feature, process, finance, accruals, journal</t>
  </si>
  <si>
    <t>Introduction</t>
  </si>
  <si>
    <t>Status: Planned</t>
  </si>
  <si>
    <t>This plan rebuilds the existing Calcs and Journal sheets in this workbook to compute monthly salary differences between the contractual amounts booked in the ERP (General Ledger) and the actual amounts paid (Bank Statement) for each fixed-fee contractor. The difference is journalled in both the Income Statement (expense or credit) and Balance Sheet (accrual or prepayment), then combined into a single posting block where total debits must equal total credits.</t>
  </si>
  <si>
    <t>Inputs: 'General Ledger' (tblGeneralLedger), 'Bank Statement' (tblBankStatement), 'Staff List' (tblStaffList). Outputs: 'Calcs' sheet (lookups + differences) and 'Journal' sheet (IS block, BS block, Combined posting block, balance check).</t>
  </si>
  <si>
    <t>1. Requirements &amp; Constraints</t>
  </si>
  <si>
    <t>ID</t>
  </si>
  <si>
    <t>REQ-001</t>
  </si>
  <si>
    <t>REQ-002</t>
  </si>
  <si>
    <t>REQ-003</t>
  </si>
  <si>
    <t>REQ-004</t>
  </si>
  <si>
    <t>REQ-005</t>
  </si>
  <si>
    <t>REQ-006</t>
  </si>
  <si>
    <t>REQ-007</t>
  </si>
  <si>
    <t>Journal IS block MUST post to Account 30910 'Accrued Salary Cost' when Difference &gt; 0 (debit), and Account 20100 'Salary Overpayment Credit' when Difference &lt;= 0 (credit). Account, description and debit/credit allocation MUST be IF-driven from the Workings column.</t>
  </si>
  <si>
    <t>REQ-008</t>
  </si>
  <si>
    <t>Journal BS block MUST post to Account 40722 'Unpaid Salary Accrual' when Difference &gt; 0 (credit), and Account 50102 'Salary Overpayment Prepayment' when Difference &lt;= 0 (debit). Account, description and debit/credit allocation MUST be IF-driven.</t>
  </si>
  <si>
    <t>REQ-009</t>
  </si>
  <si>
    <t>Journal sheet MUST contain a Combined paste-values block that mirrors the IS block then the BS block as static values (not formulas), and MUST display a balance check cell evaluating Total Debits = Total Credits.</t>
  </si>
  <si>
    <t>CON-001</t>
  </si>
  <si>
    <t>CON-002</t>
  </si>
  <si>
    <t>CON-003</t>
  </si>
  <si>
    <t>All debits in a posted journal MUST equal all credits. The Combined block balance check is the gate before posting.</t>
  </si>
  <si>
    <t>GUD-001</t>
  </si>
  <si>
    <t>Use Excel structured references (tblGeneralLedger[Amount], tblBankStatement[Period], etc.) so formulas expand automatically when source tables grow.</t>
  </si>
  <si>
    <t>GUD-002</t>
  </si>
  <si>
    <t>Format inputs (hard-coded references / staff data) in blue text, formulas in black, cross-sheet links in green. Apply parentheses for negatives and '-' for zero on currency cells.</t>
  </si>
  <si>
    <t>PAT-001</t>
  </si>
  <si>
    <t>PAT-002</t>
  </si>
  <si>
    <t>2. Implementation Steps</t>
  </si>
  <si>
    <t>Phase 1 — GOAL-001: Build Calcs sheet (staff mirror, combo key, GL lookups, Bank lookups, differences)</t>
  </si>
  <si>
    <t>Task</t>
  </si>
  <si>
    <t>Completed</t>
  </si>
  <si>
    <t>Date</t>
  </si>
  <si>
    <t>TASK-001</t>
  </si>
  <si>
    <t>TASK-002</t>
  </si>
  <si>
    <t>TASK-003</t>
  </si>
  <si>
    <t>TASK-004</t>
  </si>
  <si>
    <t>TASK-005</t>
  </si>
  <si>
    <t>TASK-006</t>
  </si>
  <si>
    <t>Phase 2 — GOAL-002: Build Journal Income Statement block</t>
  </si>
  <si>
    <t>TASK-007</t>
  </si>
  <si>
    <t>TASK-008</t>
  </si>
  <si>
    <t>TASK-009</t>
  </si>
  <si>
    <t>TASK-010</t>
  </si>
  <si>
    <t>Phase 3 — GOAL-003: Build Journal Balance Sheet block</t>
  </si>
  <si>
    <t>TASK-011</t>
  </si>
  <si>
    <t>TASK-012</t>
  </si>
  <si>
    <t>TASK-013</t>
  </si>
  <si>
    <t>TASK-014</t>
  </si>
  <si>
    <t>Phase 4 — GOAL-004: Build Combined paste-values block and balance check</t>
  </si>
  <si>
    <t>TASK-015</t>
  </si>
  <si>
    <t>TASK-016</t>
  </si>
  <si>
    <t>TASK-017</t>
  </si>
  <si>
    <t>TASK-018</t>
  </si>
  <si>
    <t>Phase 5 — GOAL-005: Validation, audit, formatting consistency</t>
  </si>
  <si>
    <t>TASK-019</t>
  </si>
  <si>
    <t>TASK-020</t>
  </si>
  <si>
    <t>TASK-021</t>
  </si>
  <si>
    <t>TASK-022</t>
  </si>
  <si>
    <t>TASK-023</t>
  </si>
  <si>
    <t>TASK-024</t>
  </si>
  <si>
    <t>3. Alternatives</t>
  </si>
  <si>
    <t>ALT-001</t>
  </si>
  <si>
    <t>Use Power Query to unpivot GL and Bank Statement, merge on staff, and produce the Calcs differences as a single appended table. Rejected: heavier maintenance burden and obscures the formula logic for finance reviewers who audit cells directly.</t>
  </si>
  <si>
    <t>ALT-002</t>
  </si>
  <si>
    <t>Replace the IS/BS split with a single accrual-net journal table using SIGN()-driven account selection. Rejected: separating IS and BS blocks mirrors the underlying double-entry logic and is what the existing process script (and the reviewer's mental model) expects.</t>
  </si>
  <si>
    <t>ALT-003</t>
  </si>
  <si>
    <t>Use XLOOKUP instead of INDEX/MATCH for the Workings column. Rejected for parity: existing workbook style uses INDEX/MATCH; switching one cell breaks visual consistency. Either choice is functionally equivalent.</t>
  </si>
  <si>
    <t>ALT-004</t>
  </si>
  <si>
    <t>Generate the Combined block dynamically via formulas (e.g. =F8) rather than paste-values. Rejected: the script explicitly calls for paste-values so the posting block is frozen at the moment of posting and cannot accidentally drift if upstream inputs change.</t>
  </si>
  <si>
    <t>4. Dependencies</t>
  </si>
  <si>
    <t>DEP-001</t>
  </si>
  <si>
    <t>tblGeneralLedger exists on 'General Ledger' sheet with columns: Account, Description, Period, Posted Date, Transaction Source, ##, Amount.</t>
  </si>
  <si>
    <t>DEP-002</t>
  </si>
  <si>
    <t>tblBankStatement exists on 'Bank Statement' sheet with columns: Bank Account, Period (text 'Mmm/yyyy'), Posted, Text, Currency, Bank account amt.</t>
  </si>
  <si>
    <t>DEP-003</t>
  </si>
  <si>
    <t>tblStaffList exists on 'Staff List' sheet with columns: First Name, Surname, Personnel No, Role, Company Code, Cost Centre.</t>
  </si>
  <si>
    <t>DEP-004</t>
  </si>
  <si>
    <t>GL Description naming convention 'Salary for &lt;Role&gt; Fixed Fee contract' — the Calcs SUMIFS depends on the 'Salary for &lt;Role&gt;' prefix matching exactly.</t>
  </si>
  <si>
    <t>DEP-005</t>
  </si>
  <si>
    <t>Bank Statement Text naming convention 'Salary Payment-&lt;First&gt; &lt;Last&gt;' — the Calcs Actual Payment SUMIFS depends on this exact format.</t>
  </si>
  <si>
    <t>DEP-006</t>
  </si>
  <si>
    <t>Account code/description mapping (provided by Finance): IS 30910 'Accrued Salary Cost', IS 20100 'Salary Overpayment Credit', BS 40722 'Unpaid Salary Accrual', BS 50102 'Salary Overpayment Prepayment'.</t>
  </si>
  <si>
    <t>5. Files (Worksheets Affected)</t>
  </si>
  <si>
    <t>FILE-001</t>
  </si>
  <si>
    <t>FILE-002</t>
  </si>
  <si>
    <t>FILE-003</t>
  </si>
  <si>
    <t>General Ledger' — READ ONLY input. No changes.</t>
  </si>
  <si>
    <t>FILE-004</t>
  </si>
  <si>
    <t>Bank Statement' — READ ONLY input. No changes.</t>
  </si>
  <si>
    <t>FILE-005</t>
  </si>
  <si>
    <t>Staff List' — READ ONLY input. No changes.</t>
  </si>
  <si>
    <t>6. Testing</t>
  </si>
  <si>
    <t>TEST-001</t>
  </si>
  <si>
    <t>TEST-002</t>
  </si>
  <si>
    <t>TEST-003</t>
  </si>
  <si>
    <t>TEST-004</t>
  </si>
  <si>
    <t>TEST-005</t>
  </si>
  <si>
    <t>TEST-006</t>
  </si>
  <si>
    <t>TEST-007</t>
  </si>
  <si>
    <t>TEST-008</t>
  </si>
  <si>
    <t>7. Risks &amp; Assumptions</t>
  </si>
  <si>
    <t>RISK-001</t>
  </si>
  <si>
    <t>If the GL Description format changes (e.g. 'Salary - Financial Controller' instead of 'Salary for Financial Controller'), the Calcs SUMIFS returns zero and the journal silently understates accruals. Mitigation: TEST-001 must be re-run whenever GL source format may have changed.</t>
  </si>
  <si>
    <t>RISK-002</t>
  </si>
  <si>
    <t>If the Bank Statement Text format changes (e.g. uses initials, or hyphen vs space between names), Calcs Actual Payment returns zero → overstates accrual. Mitigation: TEST-002.</t>
  </si>
  <si>
    <t>RISK-003</t>
  </si>
  <si>
    <t>RISK-004</t>
  </si>
  <si>
    <t>RISK-005</t>
  </si>
  <si>
    <t>ASSUMPTION-001</t>
  </si>
  <si>
    <t>ASSUMPTION-002</t>
  </si>
  <si>
    <t>ASSUMPTION-003</t>
  </si>
  <si>
    <t>Currency is GBP throughout; no FX translation is required between GL and Bank.</t>
  </si>
  <si>
    <t>ASSUMPTION-004</t>
  </si>
  <si>
    <t>8. Related Specifications / Further Reading</t>
  </si>
  <si>
    <t>REF-001</t>
  </si>
  <si>
    <t>Source process script: 'Salary Accruals Process script.md' (uploaded with this request).</t>
  </si>
  <si>
    <t>REF-002</t>
  </si>
  <si>
    <t>Existing reference implementation in this workbook on the 'Calcs' and 'Journal' sheets — the plan above is built to reproduce that exact layout and formula pattern.</t>
  </si>
  <si>
    <t>Turn #</t>
  </si>
  <si>
    <t>User Request</t>
  </si>
  <si>
    <t>Action Taken</t>
  </si>
  <si>
    <t>Details</t>
  </si>
  <si>
    <t>Outcome</t>
  </si>
  <si>
    <t>Write an implementation plan for the Salary Accruals Calcs &amp; Journal sheets (based on the uploaded process script) to a new worksheet.</t>
  </si>
  <si>
    <t>Created new 'Implementation Plan' worksheet at position 0; populated with 8-section plan per create-implementation-plan skill template.</t>
  </si>
  <si>
    <t>Sections: front matter, intro, REQ/CON/GUD/PAT requirements, 5 phases (Calcs build, Journal IS block, Journal BS block, Combined paste-values + balance check, validation), alternatives (ALT-001..004), dependencies (DEP-001..006), files affected, tests with expected numerical values for current data, risks (RISK-001..005) and assumptions, references. Plan mirrors the existing Calcs (A:F staff, H Combo, I:L GL, N:Q Bank, S:V Diff) and Journal layouts (IS 7-15, BS 21-29, Combined 32 check + 35-51 paste values) exactly.</t>
  </si>
  <si>
    <t>Plan written to 'Implementation Plan' sheet, rows 1-119. No source data modified. Awaiting user review before any build is executed.</t>
  </si>
  <si>
    <t>Build a Calcs sheet and Journal sheet that compute per-staff monthly salary accrual/prepayment differences from General Ledger vs Bank Statement, and output a posting-ready balanced journal. All ranges, period headers and staff rows MUST scale dynamically with any number of employees in tblStaffList and any number of periods present in the source data.</t>
  </si>
  <si>
    <t>This plan rebuilds the Calcs and Journal sheets so they scale to any number of staff and any number of monthly periods. The difference between contractual GL salary and actual bank payment is journalled in both the Income Statement (expense or credit) and Balance Sheet (accrual or prepayment), then combined into a single paste-values block where total debits must equal total credits. Period headers, staff rows and journal rows are all formula-driven from the source tables — no hard-coded month list, no hard-coded row counts.</t>
  </si>
  <si>
    <t>Calcs sheet MUST mirror tblStaffList dynamically. Staff identity columns (First Name, Surname, Personnel No, Role, Company Code, Cost Centre) MUST be produced by spilled references (e.g. '=tblStaffList[First Name]') so adding/removing rows in tblStaffList propagates without manual edits.</t>
  </si>
  <si>
    <t>Calcs sheet MUST produce a Combo key column equal to 'CompanyCode_CostCentre' for every staff row, sized to the spilled staff range (no fixed row count).</t>
  </si>
  <si>
    <t>Calcs Contractual Payment block MUST have period headers derived dynamically from the unique non-blank values in tblGeneralLedger[Period] (sorted ascending), and per-staff SUMIFS keyed on those headers and on Description matching 'Salary for &lt;Role&gt;*'.</t>
  </si>
  <si>
    <t>Calcs Actual Payment block MUST have period headers derived dynamically from the unique non-blank values in tblBankStatement[Period] (sorted ascending, text form 'Mmm/yyyy'), with per-staff SUMIFS keyed on those headers and on Text matching 'Salary Payment-&lt;First&gt; &lt;Last&gt;'.</t>
  </si>
  <si>
    <t>Calcs Difference block MUST = Contractual - Actual cell-for-cell, sized to match the period and staff counts driven by REQ-001..004. Positive = underpayment (accrue cost + liability). Negative = overpayment (book credit + prepayment asset).</t>
  </si>
  <si>
    <t>Journal sheet MUST generate one IS row and one BS row for every unique combination of Period × Company Code × Cost Centre present in the data, with row counts driven by formulas (no fixed 8-row blocks).</t>
  </si>
  <si>
    <t>Periods in the General Ledger are stored as month-end serial dates (e.g. 45839 = 31-Jul-2025). Periods in the Bank Statement are stored as text 'Mmm/yyyy'. The plan MUST honour both formats and convert between them where lookups cross sources (use TEXT(serial,"MMM/yyyy") to align).</t>
  </si>
  <si>
    <t>GL contains non-salary rows (e.g. Account 1000 'Marketing Expenses'). The Calcs SUMIFS Description filter 'Salary for *' MUST exclude them by construction regardless of how many extra non-salary rows are added.</t>
  </si>
  <si>
    <t>Calcs follows a wide layout with three side-by-side blocks separated by one spacer column each: cols A:F staff identity (spilled from tblStaffList), col H Combo key (spilled), then three period blocks — Contractual (GL), Actual (Bank), Difference — each starting one column after the previous block ends. Block widths grow with the number of periods.</t>
  </si>
  <si>
    <t>Journal follows three stacked sections — IS, BS, Combined — each driven by the same Period × Company × Cost Centre row generator so all three sections always have the same row count and the Combined paste-values block is exactly 2× the IS row count.</t>
  </si>
  <si>
    <t>On 'Calcs', write header row at row 3: A3 'First Name', B3 'Surname', C3 'Personnel No', D3 'Role', E3 'Company Code', F3 'Cost Centre'. In A4 enter '=tblStaffList[First Name]' so the column SPILLS down to match staff count. Repeat with the corresponding column reference in B4 ('=tblStaffList[Surname]'), C4 ('=tblStaffList[Personnel No]'), D4 ('=tblStaffList[Role]'), E4 ('=tblStaffList[Company Code]'), F4 ('=tblStaffList[Cost Centre]'). Adding or removing rows in tblStaffList automatically resizes A4:F# with no manual edit.</t>
  </si>
  <si>
    <t>On 'Calcs', H3 = 'Combo'. H4 = '=tblStaffList[Company Code]&amp;"_"&amp;tblStaffList[Cost Centre]' so the column spills to match staff count. For current data this yields '1034_14020' and '1020_13010' but auto-extends for any new staff row.</t>
  </si>
  <si>
    <t>On 'Calcs', build dynamic Contractual Payment (GL) block. I1 = 'Contractual Payment (GL)'. Generate period headers from the GL with a spilled formula in I3: '=TRANSPOSE(SORT(UNIQUE(FILTER(TEXT(tblGeneralLedger[Period],"MMM/yyyy"), tblGeneralLedger[Period]&lt;&gt;""))))'. This spills the unique month list horizontally from I3 across as many columns as there are periods. Underneath, write the SUMIFS in I4 and copy it across to all spilled period columns and down to all staff rows: I4 = '=SUMIFS(tblGeneralLedger[Amount], tblGeneralLedger[Period], DATEVALUE("1 " &amp; I$3))+SUMIFS(tblGeneralLedger[Amount], tblGeneralLedger[Period], EOMONTH(DATEVALUE("1 " &amp; I$3),0))' on Description filter ', tblGeneralLedger[Description], "Salary for " &amp; $D4 &amp; "*"' — OR simpler: convert GL period to text inside a helper column on GL or rely on SUMPRODUCT: '=SUMPRODUCT((TEXT(tblGeneralLedger[Period],"MMM/yyyy")=I$3) * (LEFT(tblGeneralLedger[Description],10+LEN($D4))="Salary for " &amp; $D4) * tblGeneralLedger[Amount])'. Fill across all spilled period columns and down all spilled staff rows. The Description filter excludes non-salary GL rows.</t>
  </si>
  <si>
    <t>On 'Calcs', build dynamic Actual Payment (Bank) block. Label cell = 'Actual Payment (Bank)' placed one column after the Contractual block ends. Period header row uses a spilled formula '=TRANSPOSE(SORT(UNIQUE(FILTER(tblBankStatement[Period], tblBankStatement[Period]&lt;&gt;""))))' (Bank periods are already text). The SUMIFS in the first data cell: '=SUMIFS(tblBankStatement[Bank account amt], tblBankStatement[Period], &lt;periodHdr&gt;$row, tblBankStatement[Text], "Salary Payment-" &amp; $A4 &amp; " " &amp; $B4)'. Fill across and down.</t>
  </si>
  <si>
    <t>On 'Calcs', build dynamic Difference block. Label cell = 'Difference' placed one column after the Actual block ends. Period header row uses the same spilled UNIQUE formula as the Contractual block (so headers align). First data cell = Contractual minus Actual, written as a relative reference that fills across all period columns and down all staff rows (e.g. '=INDEX(&lt;ContractualBlock&gt;, ROW()-3, COLUMN()-&lt;offset&gt;) - INDEX(&lt;ActualBlock&gt;, ROW()-3, COLUMN()-&lt;offset&gt;)'), OR more simply if column geometry is fixed by formula: '=&lt;contractualCell&gt; - &lt;actualCell&gt;' relative-filled. Result: positive values = under-paid (accrue), negative = over-paid (prepay).</t>
  </si>
  <si>
    <t>Format Calcs: apply currency number format '_(* #,##0_);_(* (#,##0);_(* "-"??_);_(@_)' to all three block data ranges. Bold row 3 across all populated columns. Centre period header text. Banded staff rows. Because blocks are spilled, formatting should be applied to a generous range (e.g. rows 4:1000) so newly spilled cells inherit the look.</t>
  </si>
  <si>
    <t>On 'Journal', write block titles: A3 'Journal', A5 'Income Statement Accounts'. At row 7 write header row: A7 'Period', B7 'Company', C7 'Cost Centre', D7 'Account', E7 'Account Description', F7 'Debit', G7 'Credit', I2 'Workings', I4 'Total Amount'. Row positions for the IS block remain anchored at row 8 onwards, but the block LENGTH is now dynamic.</t>
  </si>
  <si>
    <t>On 'Journal' IS block, generate the Period × Company × Cost Centre rows dynamically. In A8 enter a single spilled formula that cross-joins every unique GL Period with every unique (Company, Cost Centre) from tblStaffList. Implementation: use a helper area on Calcs (e.g. row 1 holds the spilled period list and a separate column holds the spilled distinct Company_CostCentre list) then on Journal write: A8 = '=LET(p, &lt;calcs period spill&gt;, cc, &lt;calcs distinct combo spill&gt;, n, ROWS(p)*ROWS(cc), idx, SEQUENCE(n), pIdx, MOD(idx-1, ROWS(p))+1, cIdx, INT((idx-1)/ROWS(p))+1, INDEX(p, pIdx))'. B8 and C8 spill the Company and Cost Centre from the same combo index. A:C MUST be a single SEQUENCE-driven spill so adding a period or staff record automatically extends rows 8:end. Format col A as 'mmm/yyyy'.</t>
  </si>
  <si>
    <t>On 'Journal' IS block Workings, in I8 write the dynamic INDEX/MATCH against the Calcs Difference block. Use the Combo column on Calcs (column H, spilled) and the Difference period header row to look up: I8 = '=INDEX(&lt;CalcsDifferenceBlockData&gt;, MATCH(B8&amp;"_"&amp;C8, Calcs!H:H, 0)-&lt;offset&gt;, MATCH(TEXT(A8,"MMM/yyyy"), &lt;CalcsDifferencePeriodHeaderSpill&gt;, 0))'. Because Calcs blocks are spilled, reference them with the '#' spilled-range operator (e.g. 'Calcs!H4#') so the lookup column resizes with staff. Write I8 once and fill down using a spilled SEQUENCE-aware approach: wrap the body in BYROW or use an array formula '=MAP(A8#, B8#, C8#, LAMBDA(a,b,c, &lt;lookup&gt;))' so the Workings column spills to the same length as the A8 spill.</t>
  </si>
  <si>
    <t>On 'Journal' IS block, write IF-driven Account / Description / Debit / Credit as spilled formulas keyed to the I8# Workings spill. D8 = '=IF(I8#&gt;0,30910,20100)'. E8 = '=IF(I8#&gt;0,"Accrued Salary Cost","Salary Overpayment Credit")'. F8 = '=IF(I8#&gt;0,I8#,0)'. G8 = '=IF(I8#&gt;0,0,ABS(I8#))'. Each formula spills to the same length as the row generator.</t>
  </si>
  <si>
    <t>On 'Journal', write block title 'Balance Sheet Accounts' and the BS header row. Anchor the BS title and header at a position that always sits below the longest plausible IS spill (e.g. start the BS section at row IS_start + MAX_periods*MAX_staff + buffer, e.g. row 100), OR insert the BS section on a separate sheet/block whose top row is computed by formula. Recommended: place the BS title at row 100 with header at row 102 and data starting at row 103 to give the IS spill room to grow.</t>
  </si>
  <si>
    <t>On 'Journal' BS block, populate A&lt;bsStart&gt;:C&lt;bsStart&gt;# with the SAME spilled cross-join used by the IS block. Implementation: A&lt;bsStart&gt; = '=A8#', B&lt;bsStart&gt; = '=B8#', C&lt;bsStart&gt; = '=C8#' so the BS rows mirror the IS rows automatically and any change in row count propagates.</t>
  </si>
  <si>
    <t>On 'Journal' BS block, Workings column = '=I8#' so the BS Workings spills to mirror the IS Workings exactly. No separate INDEX/MATCH needed because the per-row difference is identical between IS and BS legs.</t>
  </si>
  <si>
    <t>On 'Journal' BS block, write IF-driven Account / Description / Debit / Credit as spilled formulas keyed to the BS Workings spill. D&lt;bsStart&gt; = '=IF(I&lt;bsStart&gt;#&gt;0,40722,50102)'. E&lt;bsStart&gt; = '=IF(I&lt;bsStart&gt;#&gt;0,"Unpaid Salary Accrual","Salary Overpayment Prepayment")'. F&lt;bsStart&gt; = '=IF(I&lt;bsStart&gt;#&gt;0,0,ABS(I&lt;bsStart&gt;#))' (BS debit only when difference is negative). G&lt;bsStart&gt; = '=IF(I&lt;bsStart&gt;#&gt;0,I&lt;bsStart&gt;#,0)' (BS credit when difference is positive). All spill to match BS row count.</t>
  </si>
  <si>
    <t>On 'Journal', place the Combined section below the BS section. Title cell 'Combined'. Balance check row: 'Check' label, Debit cell = '=SUM(&lt;CombinedDebitColumn&gt;)', Credit cell = '=SUM(&lt;CombinedCreditColumn&gt;)', and a Boolean cell = '=DebitTotal=CreditTotal'. The check ranges MUST reference the spilled Combined block by spilled-range operator (e.g. F&lt;combinedStart&gt;#) so they auto-size.</t>
  </si>
  <si>
    <t>On 'Journal', write the Combined header row mirroring the IS and BS headers.</t>
  </si>
  <si>
    <t>On 'Journal', the Combined block remains a PASTE-VALUES snapshot of the IS block then the BS block (script requirement). Implementation: provide a one-click action (manual or macro) that copies IS spilled range A8#:G8# into the first Combined sub-block as values, then BS spilled range A&lt;bsStart&gt;#:G&lt;bsStart&gt;# into the second sub-block as values. Until the user posts, the Combined block reads dynamically via '=A8#' / '=A&lt;bsStart&gt;#' references so it stays in sync; on posting, the user runs the snapshot action to freeze values. Document both modes in a 'Posting Instructions' cell adjacent to the Combined title.</t>
  </si>
  <si>
    <t>Format the Journal sheet: bold the three header rows on grey background; format col A as 'mmm/yyyy'; format F and G as currency '#,##0.00;[Red]-#,##0.00;-'; conditionally format the balance-check Boolean cell to highlight green when TRUE, red when FALSE; bold the title rows. Apply formats to a generous row range so spilled rows inherit styling.</t>
  </si>
  <si>
    <t>Verify Calcs Difference for current 2-staff / 4-period data: John row = 5000, 3000, 7000, -2000; Jane row = 3000, -5000, -3000, -1000; grand total = 7000. Then add a third dummy staff member and a fifth period to one source table and re-verify that Calcs spills extend automatically.</t>
  </si>
  <si>
    <t>Verify Journal IS block: SUM(F8#) = total positive differences; SUM(G8#) = absolute total of negative differences. For current data these are 18000 and 11000 respectively.</t>
  </si>
  <si>
    <t>Verify Journal BS block: F&lt;bsStart&gt;# total = IS credit total; G&lt;bsStart&gt;# total = IS debit total (contra-leg integrity).</t>
  </si>
  <si>
    <t>Verify Combined block: SUM(Debits) = SUM(Credits); balance-check Boolean = TRUE. For current data both totals = 29000.</t>
  </si>
  <si>
    <t>Spot-check that the Calcs Contractual Payment block excludes non-salary GL rows: add a junk row 'Bonus for Financial Controller' to GL and confirm Calcs values do not change for John.</t>
  </si>
  <si>
    <t>Dynamic-range stress test: (a) add a row to tblStaffList — confirm Calcs A4:F# extends, Combo extends, Difference block widens to include any new periods if applicable, Journal A8# extends, all downstream IS/BS/Combined spills extend. (b) add a new month of GL rows and matching Bank rows — confirm period header spills grow by one column and Journal row count grows by (#staff combos).</t>
  </si>
  <si>
    <t>Calcs' — to be (re)built with dynamic spilled ranges. Layout: A3:F# staff mirror spilled from tblStaffList; col H Combo key spilled; then three side-by-side blocks (Contractual GL / Actual Bank / Difference) whose period headers spill from UNIQUE() over the source tables and whose data cells fill across as the period count grows.</t>
  </si>
  <si>
    <t>Journal' — to be (re)built with dynamic spilled ranges. Layout: row 5 IS title + row 7 header + row 8 spilled IS block (Period×Company×CostCentre cross-join). BS title and header anchored below the maximum reasonable IS spill (e.g. row 100). Combined title and header anchored below the BS section. All block lengths driven by formulas; the Combined block is the paste-values posting snapshot.</t>
  </si>
  <si>
    <t>Calcs Contractual Payment for current GL: John row = 10000 each month; Jane row = 5000 each month. With a new staff member added to tblStaffList, that row appears automatically with zeros until matching GL rows exist.</t>
  </si>
  <si>
    <t>Calcs Actual Payment for current Bank: John row = 5000, 7000, 3000, 12000; Jane row = 2000, 10000, 8000, 6000. Adding a 5th month of bank data must add a 5th period column automatically.</t>
  </si>
  <si>
    <t>Calcs Difference: John = 5000, 3000, 7000, -2000; Jane = 3000, -5000, -3000, -1000. Block width = period count, height = staff count, both data-driven.</t>
  </si>
  <si>
    <t>Journal IS block: account column spills 30910 where Workings &gt; 0 and 20100 otherwise. Row count = unique periods × unique (Company, CostCentre) combos. For current 4 periods × 2 combos = 8 rows.</t>
  </si>
  <si>
    <t>Journal BS block: account column spills 40722 where Workings &gt; 0 and 50102 otherwise. Row count mirrors IS row count exactly.</t>
  </si>
  <si>
    <t>Combined block balance check Boolean = TRUE; Debit total = Credit total. For current data both = 29000.</t>
  </si>
  <si>
    <t>Add a third staff member to tblStaffList (e.g. Sam Brown, Marketing Manager, company 1050, cost centre 12000) — confirm Calcs row spills extend, Combo extends, and Journal A8# extends by an additional 4 rows (current period count). With no matching GL/Bank rows, the new staff's differences are zero so IS/BS rows post zero debit and zero credit (functionally inert).</t>
  </si>
  <si>
    <t>Add a 5th period (Nov/2025) to both GL and Bank — confirm Calcs period header spills grow by one column, Difference block widens, and Journal A8# row count grows by 2 (one per Company/CostCentre combo).</t>
  </si>
  <si>
    <t>Period header alignment risk: GL periods are date serials, Bank periods are text 'Mmm/yyyy'. Both Calcs Contractual and Difference blocks normalise via TEXT(serial,"MMM/yyyy") to match. If a user changes one source from date to text or vice versa, the spilled UNIQUE() output changes type and lookups may silently fail. Mitigation: include a small diagnostic cell that compares the period-spill length of Contractual vs Actual vs Difference and flags any mismatch.</t>
  </si>
  <si>
    <t>The Combined paste-values block exists in two states: dynamic mirror (=A8# / =A&lt;bsStart&gt;# references) while editing, frozen paste-values after posting. After posting, upstream changes do NOT propagate to Combined. Mitigation: include a 'Posted on' timestamp cell that is also stamped at the moment of the paste-values action so reviewers can see when the snapshot was taken.</t>
  </si>
  <si>
    <t>Spill-range collisions: if a user types a value into a cell that a spill formula needs to populate, the spill returns #SPILL!. With dynamic ranges this becomes more likely as the IS or Calcs block grows. Mitigation: reserve generous empty space below each spilled region (e.g. anchor BS title at row 100, Combined further below), and add a diagnostic that flags any #SPILL! or #N/A in the IS/BS/Combined blocks.</t>
  </si>
  <si>
    <t>Each staff member belongs to exactly one Company Code and one Cost Centre throughout the period being journalled. If a staff member changes cost centre mid-period, the cross-join produces only one row per (Company, CostCentre) combo present in the staff table at the time of refresh and the historical allocation is lost. Mitigation: model cost-centre changes by splitting the staff member into two rows (one per period of allocation) or by storing effective-dated cost-centre history.</t>
  </si>
  <si>
    <t>Difference of exactly zero is treated as 'no journal needed' — the spilled IF posts zero debit and zero credit. The row still appears in the IS/BS/Combined blocks but is inert for posting. This is acceptable; alternatively a FILTER() can hide zero-difference rows entirely if cleaner output is desired.</t>
  </si>
  <si>
    <t>Accruals/prepayments reverse next period (standard practice). This plan does not generate the reversal journal; that is a downstream process.</t>
  </si>
  <si>
    <t>ALT-005</t>
  </si>
  <si>
    <t>Drive the Journal row generator with Power Query rather than SEQUENCE/LET dynamic arrays. Rejected for parity with the existing formula-driven workbook style and to keep the model auditable cell-by-cell. Power Query is a viable upgrade if the staff list grows beyond ~50 rows.</t>
  </si>
  <si>
    <t>Update the plan so formulas scale to any number of employees and any number of months (not fixed at 2 staff / 4 periods).</t>
  </si>
  <si>
    <t>Rewrote requirements REQ-001..007, CON-001/002, PAT-001/002, all Phase 1–5 task descriptions, FILE-001/002, TEST-001..008, RISK-003/004/005 and ASSUMPTION-001/002 on 'Implementation Plan' to use dynamic spilled ranges.</t>
  </si>
  <si>
    <t>Calcs now drives staff rows via '=tblStaffList[Column]' spills and Combo via '=tblStaffList[Company Code]&amp;"_"&amp;tblStaffList[Cost Centre]'. Period headers spill from TRANSPOSE(SORT(UNIQUE(FILTER(...)))) over each source table. SUMIFS use TEXT(serial,"MMM/yyyy") to bridge GL date serials and Bank text periods. Journal A8 uses a LET+SEQUENCE cross-join of unique periods × unique (Company, CostCentre) combos so the row block sizes itself. IS Workings spills via MAP/LAMBDA; D/E/F/G use IF on the I8# spill. BS block mirrors IS via '=A8#' references with its own Workings = I8# and contra IF rules. Combined block reads dynamically while editing and is paste-values frozen at posting. Added ALT-005 (Power Query alternative). New risks added for #SPILL! collisions, period-type alignment, and Combined snapshot drift.</t>
  </si>
  <si>
    <t>Plan now scales to N staff and M periods automatically. Source sheets unchanged. Ready for review.</t>
  </si>
  <si>
    <t>Salary Accrual Calcs</t>
  </si>
  <si>
    <t>All ranges spill from tblStaffList, tblGeneralLedger and tblBankStatement — add staff or months and the blocks extend automatically.</t>
  </si>
  <si>
    <t>Staff (from tblStaffList)</t>
  </si>
  <si>
    <t>Contractual Payment (GL) — from tblGeneralLedger</t>
  </si>
  <si>
    <t>Actual Payment (Bank) — from tblBankStatement</t>
  </si>
  <si>
    <t>Staff</t>
  </si>
  <si>
    <t>Difference (Contractual - Actual)</t>
  </si>
  <si>
    <t>Salary Accrual Journal</t>
  </si>
  <si>
    <t>Rows generated dynamically as Period × Company × Cost Centre. IS and BS blocks scale automatically; Combined is a paste-values snapshot for posting.</t>
  </si>
  <si>
    <t>Combined (paste-values snapshot for posting)</t>
  </si>
  <si>
    <t>Currently a live mirror via VSTACK. Before posting, copy A100:G# and Paste-Values over the same range to freeze.</t>
  </si>
  <si>
    <t>Check (Debit = Credit):</t>
  </si>
  <si>
    <t>Build new dynamic Calcs and Journal sheets per the implementation plan; rename existing ones with _Original suffix.</t>
  </si>
  <si>
    <t>Renamed Calcs→Calcs_Original and Journal→Journal_Original. Created fresh Calcs and Journal sheets driven entirely by spilled formulas.</t>
  </si>
  <si>
    <t>Calcs: A6:F6 staff spill from tblStaffList[Column]; H6 Combo spills as CompanyCode_CostCentre. Three vertical blocks: Contractual (row 11 period headers spilled via TRANSPOSE/SORT/UNIQUE/FILTER over tblGeneralLedger[Period]; row 12 SUMIFS via MAKEARRAY); Actual (rows 18–20, same pattern over tblBankStatement with TEXT(serial,'mmm/yyyy') bridge); Difference (rows 25–27, =B12#-B19#). Journal: IS block rows 7–14 generated by LET+SEQUENCE cross-join of unique periods × unique (Company,CostCentre) from tblStaffList; Workings via MAP/LAMBDA INDEX lookup on Calcs!B26#; D/E/F/G IF-spilled. BS block rows 51–? mirrors IS with =A7#/B7#/C7#/I7# and contra IF rules. Combined block rows 100–115 uses VSTACK(IS#,BS#) as live mirror; balance check at F97/G97/H97 with conditional formatting green=TRUE, red=FALSE.</t>
  </si>
  <si>
    <t>Verified: F97=G97=29000, H97=TRUE. IS and BS account/debit/credit columns match Journal_Original exactly. All blocks will auto-extend when new staff or periods are added to source tables.</t>
  </si>
  <si>
    <t>Create a reusable skill 'create-salary-accruals' based on the implementation plan.</t>
  </si>
  <si>
    <t>Drafted SKILL.md with when-to-use rules, required input tables, default account codes, 4-step workflow (pre-flight, Calcs build, Journal build, verify) including exact formulas, posting guidance, and common pitfalls. Awaiting user review.</t>
  </si>
  <si>
    <t>Skill captures: tblGeneralLedger/tblBankStatement/tblStaffList input schema; default IS codes 30910/20100 and BS codes 40722/50102; Calcs spilled blocks with MAKEARRAY+SUMIFS and TEXT(serial,'mmm/yyyy') bridge; Journal LET+SEQUENCE cross-join, MAP/LAMBDA Workings lookup, IF-driven D/E/F/G, VSTACK Combined with balance check; warning to verify H97=TRUE and not declare success on FALSE.</t>
  </si>
  <si>
    <t>Skill review card displayed in chat. User to Apply/Dismiss.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</si>
</sst>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0.00;[Red]\-#,##0.00;"/>
    <numFmt numFmtId="166" formatCode="m/d/yy"/>
    <numFmt numFmtId="167" formatCode="_(* #,##0_);_(* \(#,##0\);_(* &quot;-&quot;??_);_(@_)"/>
    <numFmt numFmtId="168" formatCode="mmm/yyyy"/>
  </numFmts>
  <fonts count="21" x14ac:knownFonts="1">
    <font>
      <sz val="12"/>
      <color theme="1"/>
      <name val="Aptos Narrow"/>
      <family val="2"/>
      <scheme val="minor"/>
    </font>
    <font>
      <sz val="11"/>
      <name val="Calibri"/>
      <family val="2"/>
    </font>
    <font>
      <b/>
      <sz val="12"/>
      <color theme="0"/>
      <name val="Calibri"/>
      <family val="2"/>
    </font>
    <font>
      <sz val="8"/>
      <name val="Aptos Narrow"/>
      <family val="2"/>
      <scheme val="minor"/>
    </font>
    <font>
      <b/>
      <sz val="12"/>
      <color theme="1"/>
      <name val="Aptos Narrow"/>
      <scheme val="minor"/>
    </font>
    <font>
      <b/>
      <sz val="12"/>
      <color theme="1"/>
      <name val="Aptos Narrow"/>
      <family val="2"/>
      <scheme val="minor"/>
    </font>
    <font>
      <b/>
      <sz val="12"/>
      <color theme="0"/>
      <name val="Aptos Narrow"/>
      <family val="2"/>
      <scheme val="minor"/>
    </font>
    <font>
      <sz val="12"/>
      <color theme="1"/>
      <name val="Aptos Narrow"/>
      <family val="2"/>
      <scheme val="minor"/>
    </font>
    <font>
      <sz val="12"/>
      <color theme="0" tint="-0.34998626667073579"/>
      <name val="Aptos Narrow"/>
      <scheme val="minor"/>
    </font>
    <font>
      <b/>
      <sz val="12"/>
      <color theme="0" tint="-0.34998626667073579"/>
      <name val="Aptos Narrow"/>
      <scheme val="minor"/>
    </font>
    <font>
      <b/>
      <sz val="12"/>
      <color theme="0" tint="-0.34998626667073579"/>
      <name val="Aptos Narrow"/>
      <family val="2"/>
      <scheme val="minor"/>
    </font>
    <font>
      <sz val="12"/>
      <color theme="0" tint="-0.34998626667073579"/>
      <name val="Aptos Narrow"/>
      <family val="2"/>
      <scheme val="minor"/>
    </font>
    <font>
      <b/>
      <i/>
      <sz val="12"/>
      <color theme="1"/>
      <name val="Aptos Narrow"/>
      <scheme val="minor"/>
    </font>
    <font>
      <i/>
      <sz val="12"/>
      <color theme="1"/>
      <name val="Aptos Narrow"/>
      <scheme val="minor"/>
    </font>
    <font>
      <b/>
      <sz val="16"/>
      <color rgb="FFFFFFFF"/>
      <name val="Aptos Narrow"/>
      <family val="2"/>
      <scheme val="minor"/>
    </font>
    <font>
      <b/>
      <sz val="12"/>
      <color rgb="FFFFFFFF"/>
      <name val="Aptos Narrow"/>
      <family val="2"/>
      <scheme val="minor"/>
    </font>
    <font>
      <b/>
      <sz val="14"/>
      <color theme="1"/>
      <name val="Aptos Narrow"/>
      <family val="2"/>
      <scheme val="minor"/>
    </font>
    <font>
      <b/>
      <sz val="14"/>
      <color rgb="FFFFFFFF"/>
      <name val="Aptos Narrow"/>
      <family val="2"/>
      <scheme val="minor"/>
    </font>
    <font>
      <i/>
      <sz val="12"/>
      <color rgb="FF595959"/>
      <name val="Aptos Narrow"/>
      <family val="2"/>
      <scheme val="minor"/>
    </font>
    <font>
      <b/>
      <sz val="12"/>
      <color rgb="FFA6A6A6"/>
      <name val="Aptos Narrow"/>
      <family val="2"/>
      <scheme val="minor"/>
    </font>
    <font>
      <sz val="12"/>
      <color rgb="FFA6A6A6"/>
      <name val="Aptos Narrow"/>
      <family val="2"/>
      <scheme val="minor"/>
    </font>
  </fonts>
  <fills count="11">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
      <patternFill patternType="solid">
        <fgColor theme="0" tint="-0.249977111117893"/>
        <bgColor theme="4"/>
      </patternFill>
    </fill>
    <fill>
      <patternFill patternType="solid">
        <fgColor theme="0" tint="-0.249977111117893"/>
        <bgColor indexed="64"/>
      </patternFill>
    </fill>
    <fill>
      <patternFill patternType="solid">
        <fgColor rgb="FF156082"/>
        <bgColor indexed="64"/>
      </patternFill>
    </fill>
    <fill>
      <patternFill patternType="solid">
        <fgColor rgb="FFD9E1F2"/>
        <bgColor indexed="64"/>
      </patternFill>
    </fill>
    <fill>
      <patternFill patternType="solid">
        <fgColor rgb="FF2E75B6"/>
        <bgColor indexed="64"/>
      </patternFill>
    </fill>
    <fill>
      <patternFill patternType="solid">
        <fgColor rgb="FFE2EFDA"/>
        <bgColor indexed="64"/>
      </patternFill>
    </fill>
    <fill>
      <patternFill patternType="solid">
        <fgColor rgb="FFFFF2CC"/>
        <bgColor indexed="64"/>
      </patternFill>
    </fill>
  </fills>
  <borders count="7">
    <border>
      <left/>
      <right/>
      <top/>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auto="1"/>
      </bottom>
      <diagonal/>
    </border>
    <border>
      <left/>
      <right style="thin">
        <color theme="4" tint="0.39997558519241921"/>
      </right>
      <top/>
      <bottom style="thin">
        <color auto="1"/>
      </bottom>
      <diagonal/>
    </border>
    <border>
      <left/>
      <right/>
      <top style="thin">
        <color theme="4" tint="0.39997558519241921"/>
      </top>
      <bottom/>
      <diagonal/>
    </border>
    <border>
      <left style="thin">
        <color theme="4" tint="0.39997558519241921"/>
      </left>
      <right/>
      <top style="thin">
        <color theme="4" tint="0.39997558519241921"/>
      </top>
      <bottom style="thin">
        <color theme="4" tint="0.39997558519241921"/>
      </bottom>
      <diagonal/>
    </border>
  </borders>
  <cellStyleXfs count="2">
    <xf numFmtId="0" fontId="0" fillId="0" borderId="0"/>
    <xf numFmtId="164" fontId="7" fillId="0" borderId="0" applyFont="0" applyFill="0" applyBorder="0" applyAlignment="0" applyProtection="0"/>
  </cellStyleXfs>
  <cellXfs count="68">
    <xf numFmtId="0" fontId="0" fillId="0" borderId="0" xfId="0"/>
    <xf numFmtId="49" fontId="1" fillId="3" borderId="1" xfId="0" applyNumberFormat="1" applyFont="1" applyFill="1" applyBorder="1" applyAlignment="1">
      <alignment horizontal="left"/>
    </xf>
    <xf numFmtId="49" fontId="1" fillId="0" borderId="1" xfId="0" applyNumberFormat="1" applyFont="1" applyBorder="1" applyAlignment="1">
      <alignment horizontal="left"/>
    </xf>
    <xf numFmtId="14" fontId="1" fillId="3" borderId="1" xfId="0" applyNumberFormat="1" applyFont="1" applyFill="1" applyBorder="1" applyAlignment="1">
      <alignment horizontal="left"/>
    </xf>
    <xf numFmtId="14" fontId="1" fillId="3" borderId="1" xfId="0" applyNumberFormat="1" applyFont="1" applyFill="1" applyBorder="1" applyAlignment="1">
      <alignment horizontal="center"/>
    </xf>
    <xf numFmtId="14" fontId="1" fillId="0" borderId="1" xfId="0" applyNumberFormat="1" applyFont="1" applyBorder="1" applyAlignment="1">
      <alignment horizontal="left"/>
    </xf>
    <xf numFmtId="14" fontId="1" fillId="0" borderId="1" xfId="0" applyNumberFormat="1" applyFont="1" applyBorder="1" applyAlignment="1">
      <alignment horizontal="center"/>
    </xf>
    <xf numFmtId="166" fontId="1" fillId="3" borderId="1" xfId="0" applyNumberFormat="1" applyFont="1" applyFill="1" applyBorder="1" applyAlignment="1">
      <alignment horizontal="center"/>
    </xf>
    <xf numFmtId="166" fontId="1" fillId="0" borderId="1" xfId="0" applyNumberFormat="1" applyFont="1" applyBorder="1" applyAlignment="1">
      <alignment horizontal="center"/>
    </xf>
    <xf numFmtId="0" fontId="4" fillId="0" borderId="0" xfId="0" applyFont="1"/>
    <xf numFmtId="0" fontId="5" fillId="0" borderId="0" xfId="0" applyFont="1"/>
    <xf numFmtId="49" fontId="1" fillId="0" borderId="0" xfId="0" applyNumberFormat="1" applyFont="1" applyAlignment="1">
      <alignment horizontal="left"/>
    </xf>
    <xf numFmtId="49" fontId="2" fillId="2" borderId="3" xfId="0" applyNumberFormat="1" applyFont="1" applyFill="1" applyBorder="1"/>
    <xf numFmtId="0" fontId="2" fillId="2" borderId="3" xfId="0" applyFont="1" applyFill="1" applyBorder="1"/>
    <xf numFmtId="166" fontId="2" fillId="2" borderId="3" xfId="0" applyNumberFormat="1" applyFont="1" applyFill="1" applyBorder="1"/>
    <xf numFmtId="40" fontId="2" fillId="2" borderId="4" xfId="0" applyNumberFormat="1" applyFont="1" applyFill="1" applyBorder="1"/>
    <xf numFmtId="0" fontId="6" fillId="4" borderId="6" xfId="0" applyFont="1" applyFill="1" applyBorder="1"/>
    <xf numFmtId="0" fontId="6" fillId="4" borderId="1" xfId="0" applyFont="1" applyFill="1" applyBorder="1"/>
    <xf numFmtId="0" fontId="6" fillId="4" borderId="2" xfId="0" applyFont="1" applyFill="1" applyBorder="1"/>
    <xf numFmtId="0" fontId="0" fillId="5" borderId="0" xfId="0" applyFill="1"/>
    <xf numFmtId="165" fontId="0" fillId="3" borderId="1" xfId="0" applyNumberFormat="1" applyFill="1" applyBorder="1"/>
    <xf numFmtId="165" fontId="0" fillId="0" borderId="1" xfId="0" applyNumberFormat="1" applyBorder="1"/>
    <xf numFmtId="40" fontId="2" fillId="2" borderId="3" xfId="0" applyNumberFormat="1" applyFont="1" applyFill="1" applyBorder="1"/>
    <xf numFmtId="49" fontId="1" fillId="3" borderId="5" xfId="0" applyNumberFormat="1" applyFont="1" applyFill="1" applyBorder="1" applyAlignment="1">
      <alignment horizontal="left"/>
    </xf>
    <xf numFmtId="49" fontId="1" fillId="0" borderId="5" xfId="0" applyNumberFormat="1" applyFont="1" applyBorder="1" applyAlignment="1">
      <alignment horizontal="left"/>
    </xf>
    <xf numFmtId="166" fontId="1" fillId="0" borderId="5" xfId="0" applyNumberFormat="1" applyFont="1" applyBorder="1" applyAlignment="1">
      <alignment horizontal="center"/>
    </xf>
    <xf numFmtId="165" fontId="0" fillId="0" borderId="5" xfId="0" applyNumberFormat="1" applyBorder="1"/>
    <xf numFmtId="0" fontId="0" fillId="3" borderId="2" xfId="0" applyFill="1" applyBorder="1"/>
    <xf numFmtId="0" fontId="0" fillId="0" borderId="2" xfId="0" applyBorder="1"/>
    <xf numFmtId="0" fontId="0" fillId="3" borderId="1" xfId="0" applyFill="1" applyBorder="1"/>
    <xf numFmtId="0" fontId="0" fillId="0" borderId="1" xfId="0" applyBorder="1"/>
    <xf numFmtId="0" fontId="8" fillId="0" borderId="0" xfId="0" applyFont="1"/>
    <xf numFmtId="0" fontId="9" fillId="0" borderId="0" xfId="0" applyFont="1"/>
    <xf numFmtId="0" fontId="6" fillId="0" borderId="0" xfId="0" applyFont="1"/>
    <xf numFmtId="0" fontId="10" fillId="0" borderId="0" xfId="0" applyFont="1"/>
    <xf numFmtId="0" fontId="11" fillId="0" borderId="0" xfId="0" applyFont="1"/>
    <xf numFmtId="0" fontId="12" fillId="0" borderId="0" xfId="0" applyFont="1"/>
    <xf numFmtId="167" fontId="0" fillId="0" borderId="2" xfId="1" applyNumberFormat="1" applyFont="1" applyBorder="1" applyAlignment="1">
      <alignment horizontal="left" indent="6"/>
    </xf>
    <xf numFmtId="167" fontId="0" fillId="0" borderId="0" xfId="1" applyNumberFormat="1" applyFont="1" applyAlignment="1">
      <alignment horizontal="left" indent="6"/>
    </xf>
    <xf numFmtId="0" fontId="13" fillId="0" borderId="0" xfId="0" applyFont="1"/>
    <xf numFmtId="14" fontId="0" fillId="0" borderId="0" xfId="0" applyNumberFormat="1"/>
    <xf numFmtId="0" fontId="5" fillId="7" borderId="0" xfId="0" applyFont="1" applyFill="1"/>
    <xf numFmtId="0" fontId="15" fillId="6" borderId="0" xfId="0" applyFont="1" applyFill="1"/>
    <xf numFmtId="0" fontId="5" fillId="9" borderId="0" xfId="0" applyFont="1" applyFill="1"/>
    <xf numFmtId="0" fontId="14" fillId="6" borderId="0" xfId="0" applyFont="1" applyFill="1" applyAlignment="1">
      <alignment vertical="top" wrapText="1"/>
    </xf>
    <xf numFmtId="0" fontId="0" fillId="0" borderId="0" xfId="0" applyAlignment="1">
      <alignment vertical="top" wrapText="1"/>
    </xf>
    <xf numFmtId="0" fontId="5" fillId="7" borderId="0" xfId="0" applyFont="1" applyFill="1" applyAlignment="1">
      <alignment vertical="top" wrapText="1"/>
    </xf>
    <xf numFmtId="14" fontId="0" fillId="0" borderId="0" xfId="0" applyNumberFormat="1" applyAlignment="1">
      <alignment vertical="top" wrapText="1"/>
    </xf>
    <xf numFmtId="0" fontId="15" fillId="8" borderId="0" xfId="0" applyFont="1" applyFill="1" applyAlignment="1">
      <alignment horizontal="center" vertical="top" wrapText="1"/>
    </xf>
    <xf numFmtId="0" fontId="16" fillId="7" borderId="0" xfId="0" applyFont="1" applyFill="1" applyAlignment="1">
      <alignment vertical="top" wrapText="1"/>
    </xf>
    <xf numFmtId="0" fontId="15" fillId="6" borderId="0" xfId="0" applyFont="1" applyFill="1" applyAlignment="1">
      <alignment vertical="top" wrapText="1"/>
    </xf>
    <xf numFmtId="0" fontId="5" fillId="9" borderId="0" xfId="0" applyFont="1" applyFill="1" applyAlignment="1">
      <alignment vertical="top" wrapText="1"/>
    </xf>
    <xf numFmtId="0" fontId="15" fillId="6" borderId="0" xfId="0" applyFont="1" applyFill="1" applyAlignment="1">
      <alignment horizontal="center" vertical="top" wrapText="1"/>
    </xf>
    <xf numFmtId="0" fontId="0" fillId="0" borderId="0" xfId="0" quotePrefix="1" applyAlignment="1">
      <alignment vertical="top" wrapText="1"/>
    </xf>
    <xf numFmtId="0" fontId="17" fillId="6" borderId="0" xfId="0" applyFont="1" applyFill="1"/>
    <xf numFmtId="0" fontId="18" fillId="0" borderId="0" xfId="0" applyFont="1"/>
    <xf numFmtId="168" fontId="15" fillId="6" borderId="0" xfId="0" applyNumberFormat="1" applyFont="1" applyFill="1" applyAlignment="1">
      <alignment horizontal="center"/>
    </xf>
    <xf numFmtId="167" fontId="0" fillId="0" borderId="0" xfId="0" applyNumberFormat="1"/>
    <xf numFmtId="0" fontId="19" fillId="6" borderId="0" xfId="0" applyFont="1" applyFill="1"/>
    <xf numFmtId="168" fontId="0" fillId="0" borderId="0" xfId="0" applyNumberFormat="1"/>
    <xf numFmtId="167" fontId="20" fillId="0" borderId="0" xfId="0" applyNumberFormat="1" applyFont="1"/>
    <xf numFmtId="168" fontId="5" fillId="9" borderId="0" xfId="0" applyNumberFormat="1" applyFont="1" applyFill="1"/>
    <xf numFmtId="168" fontId="15" fillId="6" borderId="0" xfId="0" applyNumberFormat="1" applyFont="1" applyFill="1"/>
    <xf numFmtId="168" fontId="5" fillId="10" borderId="0" xfId="0" applyNumberFormat="1" applyFont="1" applyFill="1"/>
    <xf numFmtId="168" fontId="18" fillId="0" borderId="0" xfId="0" applyNumberFormat="1" applyFont="1"/>
    <xf numFmtId="0" fontId="5" fillId="0" borderId="0" xfId="0" applyFont="1" applyAlignment="1">
      <alignment horizontal="right"/>
    </xf>
    <xf numFmtId="167" fontId="5" fillId="0" borderId="0" xfId="0" applyNumberFormat="1" applyFont="1"/>
    <xf numFmtId="0" fontId="5" fillId="0" borderId="0" xfId="0" applyFont="1" applyAlignment="1">
      <alignment horizontal="center"/>
    </xf>
  </cellXfs>
  <cellStyles count="2">
    <cellStyle name="Comma" xfId="1" builtinId="3"/>
    <cellStyle name="Normal" xfId="0" builtinId="0"/>
  </cellStyles>
  <dxfs count="20">
    <dxf>
      <font>
        <color rgb="FFFFFFFF"/>
      </font>
      <fill>
        <patternFill patternType="solid">
          <fgColor indexed="64"/>
          <bgColor rgb="FFC00000"/>
        </patternFill>
      </fill>
    </dxf>
    <dxf>
      <font>
        <color rgb="FFFFFFFF"/>
      </font>
      <fill>
        <patternFill patternType="solid">
          <fgColor indexed="64"/>
          <bgColor rgb="FF00B050"/>
        </patternFill>
      </fill>
    </dxf>
    <dxf>
      <font>
        <b/>
        <i val="0"/>
        <strike val="0"/>
        <condense val="0"/>
        <extend val="0"/>
        <outline val="0"/>
        <shadow val="0"/>
        <u val="none"/>
        <vertAlign val="baseline"/>
        <sz val="12"/>
        <color theme="1"/>
        <name val="Aptos Narrow"/>
        <family val="2"/>
        <scheme val="minor"/>
      </font>
    </dxf>
    <dxf>
      <numFmt numFmtId="165" formatCode="#,##0.00;[Red]\-#,##0.0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theme="4" tint="0.79998168889431442"/>
          <bgColor theme="4" tint="0.79998168889431442"/>
        </patternFill>
      </fill>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Calibri"/>
        <family val="2"/>
        <scheme val="none"/>
      </font>
      <numFmt numFmtId="30" formatCode="@"/>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Calibri"/>
        <family val="2"/>
        <scheme val="none"/>
      </font>
      <numFmt numFmtId="166" formatCode="m/d/yy"/>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Calibri"/>
        <family val="2"/>
        <scheme val="none"/>
      </font>
      <numFmt numFmtId="30" formatCode="@"/>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theme="4" tint="0.79998168889431442"/>
          <bgColor theme="4" tint="0.79998168889431442"/>
        </patternFill>
      </fill>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border outline="0">
        <top style="thin">
          <color theme="4" tint="0.39997558519241921"/>
        </top>
      </border>
    </dxf>
    <dxf>
      <border outline="0">
        <right style="thin">
          <color theme="4" tint="0.39997558519241921"/>
        </right>
        <top style="thin">
          <color theme="4" tint="0.39997558519241921"/>
        </top>
        <bottom style="thin">
          <color theme="4" tint="0.39997558519241921"/>
        </bottom>
      </border>
    </dxf>
    <dxf>
      <border outline="0">
        <bottom style="thin">
          <color auto="1"/>
        </bottom>
      </border>
    </dxf>
    <dxf>
      <font>
        <b/>
        <i val="0"/>
        <strike val="0"/>
        <condense val="0"/>
        <extend val="0"/>
        <outline val="0"/>
        <shadow val="0"/>
        <u val="none"/>
        <vertAlign val="baseline"/>
        <sz val="12"/>
        <color theme="0"/>
        <name val="Calibri"/>
        <family val="2"/>
        <scheme val="none"/>
      </font>
      <numFmt numFmtId="30" formatCode="@"/>
      <fill>
        <patternFill patternType="solid">
          <fgColor theme="4"/>
          <bgColor theme="4"/>
        </patternFill>
      </fill>
    </dxf>
    <dxf>
      <numFmt numFmtId="167" formatCode="_(* #,##0_);_(* \(#,##0\);_(* &quot;-&quot;??_);_(@_)"/>
      <alignment horizontal="left" vertical="bottom" textRotation="0" wrapText="0" relativeIndent="1" justifyLastLine="0" shrinkToFit="0" readingOrder="0"/>
    </dxf>
    <dxf>
      <font>
        <b val="0"/>
        <i val="0"/>
        <strike val="0"/>
        <condense val="0"/>
        <extend val="0"/>
        <outline val="0"/>
        <shadow val="0"/>
        <u val="none"/>
        <vertAlign val="baseline"/>
        <sz val="11"/>
        <color auto="1"/>
        <name val="Calibri"/>
        <family val="2"/>
        <scheme val="none"/>
      </font>
      <numFmt numFmtId="19" formatCode="dd/mm/yyyy"/>
      <alignment horizontal="center"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Calibri"/>
        <family val="2"/>
        <scheme val="none"/>
      </font>
      <numFmt numFmtId="19" formatCode="dd/mm/yyyy"/>
      <alignment horizontal="left" vertical="bottom" textRotation="0" wrapText="0" indent="0" justifyLastLine="0" shrinkToFit="0" readingOrder="0"/>
      <border diagonalUp="0" diagonalDown="0">
        <left/>
        <right/>
        <top style="thin">
          <color theme="4" tint="0.39997558519241921"/>
        </top>
        <bottom style="thin">
          <color theme="4" tint="0.39997558519241921"/>
        </bottom>
        <vertical/>
        <horizontal/>
      </border>
    </dxf>
    <dxf>
      <font>
        <b val="0"/>
        <i val="0"/>
        <strike val="0"/>
        <condense val="0"/>
        <extend val="0"/>
        <outline val="0"/>
        <shadow val="0"/>
        <u val="none"/>
        <vertAlign val="baseline"/>
        <sz val="11"/>
        <color auto="1"/>
        <name val="Calibri"/>
        <family val="2"/>
        <scheme val="none"/>
      </font>
      <numFmt numFmtId="30" formatCode="@"/>
      <fill>
        <patternFill patternType="none">
          <fgColor indexed="64"/>
          <bgColor indexed="65"/>
        </patternFill>
      </fill>
      <alignment horizontal="left" vertical="bottom" textRotation="0" wrapText="0" indent="0" justifyLastLine="0" shrinkToFit="0" readingOrder="0"/>
    </dxf>
    <dxf>
      <font>
        <b val="0"/>
        <i val="0"/>
        <strike val="0"/>
        <condense val="0"/>
        <extend val="0"/>
        <outline val="0"/>
        <shadow val="0"/>
        <u val="none"/>
        <vertAlign val="baseline"/>
        <sz val="11"/>
        <color auto="1"/>
        <name val="Calibri"/>
        <family val="2"/>
        <scheme val="none"/>
      </font>
      <numFmt numFmtId="30" formatCode="@"/>
      <fill>
        <patternFill patternType="none">
          <fgColor indexed="64"/>
          <bgColor indexed="65"/>
        </patternFill>
      </fill>
      <alignment horizontal="left" vertical="bottom" textRotation="0" wrapText="0" indent="0" justifyLastLine="0" shrinkToFit="0" readingOrder="0"/>
    </dxf>
    <dxf>
      <border outline="0">
        <top style="thin">
          <color theme="4" tint="0.39997558519241921"/>
        </top>
      </border>
    </dxf>
    <dxf>
      <border outline="0">
        <bottom style="thin">
          <color auto="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97CA833-53D7-46AE-8C9A-6353475B2375}" name="tblGeneralLedger" displayName="tblGeneralLedger" ref="A1:G12" totalsRowShown="0" headerRowBorderDxfId="19" tableBorderDxfId="18">
  <autoFilter ref="A1:G12" xr:uid="{F97CA833-53D7-46AE-8C9A-6353475B2375}"/>
  <tableColumns count="7">
    <tableColumn id="1" xr3:uid="{71B0E62B-5A2F-4C8C-8007-0B18C919D3E2}" name="Account" dataDxfId="17"/>
    <tableColumn id="2" xr3:uid="{2B6BCCD5-F799-4C2C-955C-7EB36B46B808}" name="Description" dataDxfId="16"/>
    <tableColumn id="3" xr3:uid="{B132ADB6-6C38-4B6C-A24E-5CEC78C855B4}" name="Period" dataDxfId="15"/>
    <tableColumn id="4" xr3:uid="{5D0589FF-2EA2-4CC3-A6E9-3D2505DC4EFD}" name="Posted Date" dataDxfId="14"/>
    <tableColumn id="5" xr3:uid="{8956A441-A145-42EA-9552-550AC84E8B90}" name="Transaction Source "/>
    <tableColumn id="6" xr3:uid="{0649FCEA-0DE1-4185-9526-3D5BFC1F9A75}" name="##"/>
    <tableColumn id="7" xr3:uid="{03C0E820-6280-4916-87FE-52C3EB452F03}" name="Amount" dataDxfId="13" dataCellStyle="Comma"/>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B7982909-F308-4695-801B-8D065F978BEC}" name="tblBankStatement" displayName="tblBankStatement" ref="A1:F9" totalsRowShown="0" headerRowDxfId="12" headerRowBorderDxfId="11" tableBorderDxfId="10" totalsRowBorderDxfId="9">
  <autoFilter ref="A1:F9" xr:uid="{B7982909-F308-4695-801B-8D065F978BEC}"/>
  <tableColumns count="6">
    <tableColumn id="1" xr3:uid="{D4473A6D-F5B6-483D-9764-F243A05641C0}" name="Bank Account" dataDxfId="8"/>
    <tableColumn id="2" xr3:uid="{E7E44989-0AEA-411F-87FA-BC5642213F5E}" name="Period" dataDxfId="7"/>
    <tableColumn id="3" xr3:uid="{AF5E0BB9-56CA-4C52-8EC7-D535CCF1F144}" name="Posted" dataDxfId="6">
      <calculatedColumnFormula>C1+30</calculatedColumnFormula>
    </tableColumn>
    <tableColumn id="4" xr3:uid="{1838B2C2-91D8-409E-AF0D-EB78017A1413}" name="Text" dataDxfId="5"/>
    <tableColumn id="5" xr3:uid="{14E643A7-FEDA-4B5B-88A4-4229F2A1E381}" name="Currency" dataDxfId="4"/>
    <tableColumn id="6" xr3:uid="{F8671753-450E-4DF4-9FE3-8FA398A12AC5}" name="Bank account amt" dataDxfId="3"/>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7A6736B-5E60-4E6A-986D-B51A55E1F580}" name="tblStaffList" displayName="tblStaffList" ref="A1:F3" totalsRowShown="0" headerRowDxfId="2">
  <autoFilter ref="A1:F3" xr:uid="{B7A6736B-5E60-4E6A-986D-B51A55E1F580}"/>
  <tableColumns count="6">
    <tableColumn id="1" xr3:uid="{E0FB87D0-A627-4299-9CEF-97CBBC4120FF}" name="First Name"/>
    <tableColumn id="2" xr3:uid="{2F90AD0A-B018-4885-832B-0839494CD308}" name="Surname"/>
    <tableColumn id="3" xr3:uid="{5C3ED05A-09E1-43FA-AE5F-597E3ECB6861}" name="Personnel No"/>
    <tableColumn id="4" xr3:uid="{B74FDF66-F1C5-4CAC-A613-E186F6AE04A6}" name="Role"/>
    <tableColumn id="5" xr3:uid="{0913C090-B1FE-42AB-A29C-CC2B14354A90}" name="Company Code"/>
    <tableColumn id="6" xr3:uid="{6FF48F96-95D2-481A-AE6B-3DEA4E00A9DC}" name="Cost Centr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92" row="2">
    <wetp:webextensionref xmlns:r="http://schemas.openxmlformats.org/officeDocument/2006/relationships" r:id="rId1"/>
  </wetp:taskpane>
</wetp:taskpanes>
</file>

<file path=xl/webextensions/webextension1.xml><?xml version="1.0" encoding="utf-8"?>
<we:webextension xmlns:we="http://schemas.microsoft.com/office/webextensions/webextension/2010/11" id="{53B3ABC5-9A0E-7A44-BB31-0A5173CB4BCD}">
  <we:reference id="29673e3c-d826-4f00-92ee-162334a52b1a" version="1.0.0.8" store="EXCatalog" storeType="EXCatalog"/>
  <we:alternateReferences>
    <we:reference id="WA200009404" version="1.0.0.8" store="en-GB" storeType="OMEX"/>
  </we:alternateReferences>
  <we:properties>
    <we:property name="claude.fileId" value="&quot;7e8217ca-ab17-41fa-ab42-40acf3488fcc&quot;"/>
  </we:properties>
  <we:bindings/>
  <we:snapshot xmlns:r="http://schemas.openxmlformats.org/officeDocument/2006/relationships"/>
</we:webextension>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522597-3325-4560-BD13-FCB907FB63C2}">
  <dimension ref="A1:F5"/>
  <sheetViews>
    <sheetView workbookViewId="0"/>
  </sheetViews>
  <sheetFormatPr defaultRowHeight="15.75" x14ac:dyDescent="0.25"/>
  <cols>
    <col min="1" max="6" width="36.625" customWidth="1"/>
  </cols>
  <sheetData>
    <row r="1" spans="1:6" x14ac:dyDescent="0.25">
      <c r="A1" s="42" t="s">
        <v>188</v>
      </c>
      <c r="B1" s="42" t="s">
        <v>101</v>
      </c>
      <c r="C1" s="42" t="s">
        <v>189</v>
      </c>
      <c r="D1" s="42" t="s">
        <v>190</v>
      </c>
      <c r="E1" s="42" t="s">
        <v>191</v>
      </c>
      <c r="F1" s="42" t="s">
        <v>192</v>
      </c>
    </row>
    <row r="2" spans="1:6" x14ac:dyDescent="0.25">
      <c r="A2">
        <v>1</v>
      </c>
      <c r="B2" s="40">
        <v>46174</v>
      </c>
      <c r="C2" t="s">
        <v>193</v>
      </c>
      <c r="D2" t="s">
        <v>194</v>
      </c>
      <c r="E2" t="s">
        <v>195</v>
      </c>
      <c r="F2" t="s">
        <v>196</v>
      </c>
    </row>
    <row r="3" spans="1:6" x14ac:dyDescent="0.25">
      <c r="A3">
        <v>2</v>
      </c>
      <c r="B3" s="40">
        <v>46174</v>
      </c>
      <c r="C3" t="s">
        <v>251</v>
      </c>
      <c r="D3" t="s">
        <v>252</v>
      </c>
      <c r="E3" t="s">
        <v>253</v>
      </c>
      <c r="F3" t="s">
        <v>254</v>
      </c>
    </row>
    <row r="4" spans="1:6" x14ac:dyDescent="0.25">
      <c r="A4">
        <v>3</v>
      </c>
      <c r="B4" s="40">
        <v>46174</v>
      </c>
      <c r="C4" t="s">
        <v>267</v>
      </c>
      <c r="D4" t="s">
        <v>268</v>
      </c>
      <c r="E4" t="s">
        <v>269</v>
      </c>
      <c r="F4" t="s">
        <v>270</v>
      </c>
    </row>
    <row r="5" spans="1:6" x14ac:dyDescent="0.25">
      <c r="A5">
        <v>4</v>
      </c>
      <c r="B5" s="40">
        <v>46174</v>
      </c>
      <c r="C5" t="s">
        <v>271</v>
      </c>
      <c r="D5" t="s">
        <v>272</v>
      </c>
      <c r="E5" t="s">
        <v>273</v>
      </c>
      <c r="F5" t="s">
        <v>274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DAB168-D989-4CB0-A1A5-7E7C072587EA}">
  <dimension ref="A1:D120"/>
  <sheetViews>
    <sheetView tabSelected="1" topLeftCell="A112" zoomScale="55" zoomScaleNormal="55" workbookViewId="0"/>
  </sheetViews>
  <sheetFormatPr defaultRowHeight="15.75" x14ac:dyDescent="0.25"/>
  <cols>
    <col min="1" max="1" width="57.375" customWidth="1"/>
    <col min="2" max="2" width="100" customWidth="1"/>
    <col min="3" max="3" width="12.5" customWidth="1"/>
    <col min="4" max="4" width="13.375" customWidth="1"/>
  </cols>
  <sheetData>
    <row r="1" spans="1:4" ht="42" x14ac:dyDescent="0.25">
      <c r="A1" s="44" t="s">
        <v>58</v>
      </c>
      <c r="B1" s="45"/>
      <c r="C1" s="45"/>
      <c r="D1" s="45"/>
    </row>
    <row r="2" spans="1:4" x14ac:dyDescent="0.25">
      <c r="A2" s="46" t="s">
        <v>59</v>
      </c>
      <c r="B2" s="45"/>
      <c r="C2" s="45"/>
      <c r="D2" s="45"/>
    </row>
    <row r="3" spans="1:4" ht="63" x14ac:dyDescent="0.25">
      <c r="A3" s="45" t="s">
        <v>60</v>
      </c>
      <c r="B3" s="45" t="s">
        <v>197</v>
      </c>
      <c r="C3" s="45"/>
      <c r="D3" s="45"/>
    </row>
    <row r="4" spans="1:4" x14ac:dyDescent="0.25">
      <c r="A4" s="45" t="s">
        <v>61</v>
      </c>
      <c r="B4" s="45">
        <v>1</v>
      </c>
      <c r="C4" s="45"/>
      <c r="D4" s="45"/>
    </row>
    <row r="5" spans="1:4" x14ac:dyDescent="0.25">
      <c r="A5" s="45" t="s">
        <v>62</v>
      </c>
      <c r="B5" s="47">
        <v>46174</v>
      </c>
      <c r="C5" s="45"/>
      <c r="D5" s="45"/>
    </row>
    <row r="6" spans="1:4" x14ac:dyDescent="0.25">
      <c r="A6" s="45" t="s">
        <v>63</v>
      </c>
      <c r="B6" s="45" t="s">
        <v>64</v>
      </c>
      <c r="C6" s="45"/>
      <c r="D6" s="45"/>
    </row>
    <row r="7" spans="1:4" x14ac:dyDescent="0.25">
      <c r="A7" s="45" t="s">
        <v>65</v>
      </c>
      <c r="B7" s="48" t="s">
        <v>66</v>
      </c>
      <c r="C7" s="45"/>
      <c r="D7" s="45"/>
    </row>
    <row r="8" spans="1:4" x14ac:dyDescent="0.25">
      <c r="A8" s="45" t="s">
        <v>67</v>
      </c>
      <c r="B8" s="45" t="s">
        <v>68</v>
      </c>
      <c r="C8" s="45"/>
      <c r="D8" s="45"/>
    </row>
    <row r="9" spans="1:4" x14ac:dyDescent="0.25">
      <c r="A9" s="45"/>
      <c r="B9" s="45"/>
      <c r="C9" s="45"/>
      <c r="D9" s="45"/>
    </row>
    <row r="10" spans="1:4" ht="18.75" x14ac:dyDescent="0.25">
      <c r="A10" s="49" t="s">
        <v>69</v>
      </c>
      <c r="B10" s="45"/>
      <c r="C10" s="45"/>
      <c r="D10" s="45"/>
    </row>
    <row r="11" spans="1:4" x14ac:dyDescent="0.25">
      <c r="A11" s="45" t="s">
        <v>70</v>
      </c>
      <c r="B11" s="45"/>
      <c r="C11" s="45"/>
      <c r="D11" s="45"/>
    </row>
    <row r="12" spans="1:4" ht="126" x14ac:dyDescent="0.25">
      <c r="A12" s="45" t="s">
        <v>71</v>
      </c>
      <c r="B12" s="45" t="s">
        <v>198</v>
      </c>
      <c r="C12" s="45"/>
      <c r="D12" s="45"/>
    </row>
    <row r="13" spans="1:4" ht="63" x14ac:dyDescent="0.25">
      <c r="A13" s="45" t="s">
        <v>72</v>
      </c>
      <c r="B13" s="45"/>
      <c r="C13" s="45"/>
      <c r="D13" s="45"/>
    </row>
    <row r="14" spans="1:4" x14ac:dyDescent="0.25">
      <c r="A14" s="45"/>
      <c r="B14" s="45"/>
      <c r="C14" s="45"/>
      <c r="D14" s="45"/>
    </row>
    <row r="15" spans="1:4" ht="18.75" x14ac:dyDescent="0.25">
      <c r="A15" s="49" t="s">
        <v>73</v>
      </c>
      <c r="B15" s="45"/>
      <c r="C15" s="45"/>
      <c r="D15" s="45"/>
    </row>
    <row r="16" spans="1:4" x14ac:dyDescent="0.25">
      <c r="A16" s="50" t="s">
        <v>74</v>
      </c>
      <c r="B16" s="50" t="s">
        <v>25</v>
      </c>
      <c r="C16" s="45"/>
      <c r="D16" s="45"/>
    </row>
    <row r="17" spans="1:4" ht="47.25" x14ac:dyDescent="0.25">
      <c r="A17" s="45" t="s">
        <v>75</v>
      </c>
      <c r="B17" s="45" t="s">
        <v>199</v>
      </c>
      <c r="C17" s="45"/>
      <c r="D17" s="45"/>
    </row>
    <row r="18" spans="1:4" ht="31.5" x14ac:dyDescent="0.25">
      <c r="A18" s="45" t="s">
        <v>76</v>
      </c>
      <c r="B18" s="45" t="s">
        <v>200</v>
      </c>
      <c r="C18" s="45"/>
      <c r="D18" s="45"/>
    </row>
    <row r="19" spans="1:4" ht="47.25" x14ac:dyDescent="0.25">
      <c r="A19" s="45" t="s">
        <v>77</v>
      </c>
      <c r="B19" s="45" t="s">
        <v>201</v>
      </c>
      <c r="C19" s="45"/>
      <c r="D19" s="45"/>
    </row>
    <row r="20" spans="1:4" ht="47.25" x14ac:dyDescent="0.25">
      <c r="A20" s="45" t="s">
        <v>78</v>
      </c>
      <c r="B20" s="45" t="s">
        <v>202</v>
      </c>
      <c r="C20" s="45"/>
      <c r="D20" s="45"/>
    </row>
    <row r="21" spans="1:4" ht="47.25" x14ac:dyDescent="0.25">
      <c r="A21" s="45" t="s">
        <v>79</v>
      </c>
      <c r="B21" s="45" t="s">
        <v>203</v>
      </c>
      <c r="C21" s="45"/>
      <c r="D21" s="45"/>
    </row>
    <row r="22" spans="1:4" ht="31.5" x14ac:dyDescent="0.25">
      <c r="A22" s="45" t="s">
        <v>80</v>
      </c>
      <c r="B22" s="45" t="s">
        <v>204</v>
      </c>
      <c r="C22" s="45"/>
      <c r="D22" s="45"/>
    </row>
    <row r="23" spans="1:4" ht="47.25" x14ac:dyDescent="0.25">
      <c r="A23" s="45" t="s">
        <v>81</v>
      </c>
      <c r="B23" s="45" t="s">
        <v>82</v>
      </c>
      <c r="C23" s="45"/>
      <c r="D23" s="45"/>
    </row>
    <row r="24" spans="1:4" ht="47.25" x14ac:dyDescent="0.25">
      <c r="A24" s="45" t="s">
        <v>83</v>
      </c>
      <c r="B24" s="45" t="s">
        <v>84</v>
      </c>
      <c r="C24" s="45"/>
      <c r="D24" s="45"/>
    </row>
    <row r="25" spans="1:4" ht="31.5" x14ac:dyDescent="0.25">
      <c r="A25" s="45" t="s">
        <v>85</v>
      </c>
      <c r="B25" s="45" t="s">
        <v>86</v>
      </c>
      <c r="C25" s="45"/>
      <c r="D25" s="45"/>
    </row>
    <row r="26" spans="1:4" ht="47.25" x14ac:dyDescent="0.25">
      <c r="A26" s="45" t="s">
        <v>87</v>
      </c>
      <c r="B26" s="45" t="s">
        <v>205</v>
      </c>
      <c r="C26" s="45"/>
      <c r="D26" s="45"/>
    </row>
    <row r="27" spans="1:4" ht="31.5" x14ac:dyDescent="0.25">
      <c r="A27" s="45" t="s">
        <v>88</v>
      </c>
      <c r="B27" s="45" t="s">
        <v>206</v>
      </c>
      <c r="C27" s="45"/>
      <c r="D27" s="45"/>
    </row>
    <row r="28" spans="1:4" x14ac:dyDescent="0.25">
      <c r="A28" s="45" t="s">
        <v>89</v>
      </c>
      <c r="B28" s="45" t="s">
        <v>90</v>
      </c>
      <c r="C28" s="45"/>
      <c r="D28" s="45"/>
    </row>
    <row r="29" spans="1:4" ht="31.5" x14ac:dyDescent="0.25">
      <c r="A29" s="45" t="s">
        <v>91</v>
      </c>
      <c r="B29" s="45" t="s">
        <v>92</v>
      </c>
      <c r="C29" s="45"/>
      <c r="D29" s="45"/>
    </row>
    <row r="30" spans="1:4" ht="31.5" x14ac:dyDescent="0.25">
      <c r="A30" s="45" t="s">
        <v>93</v>
      </c>
      <c r="B30" s="45" t="s">
        <v>94</v>
      </c>
      <c r="C30" s="45"/>
      <c r="D30" s="45"/>
    </row>
    <row r="31" spans="1:4" ht="47.25" x14ac:dyDescent="0.25">
      <c r="A31" s="45" t="s">
        <v>95</v>
      </c>
      <c r="B31" s="45" t="s">
        <v>207</v>
      </c>
      <c r="C31" s="45"/>
      <c r="D31" s="45"/>
    </row>
    <row r="32" spans="1:4" ht="47.25" x14ac:dyDescent="0.25">
      <c r="A32" s="45" t="s">
        <v>96</v>
      </c>
      <c r="B32" s="45" t="s">
        <v>208</v>
      </c>
      <c r="C32" s="45"/>
      <c r="D32" s="45"/>
    </row>
    <row r="33" spans="1:4" x14ac:dyDescent="0.25">
      <c r="A33" s="45"/>
      <c r="B33" s="45"/>
      <c r="C33" s="45"/>
      <c r="D33" s="45"/>
    </row>
    <row r="34" spans="1:4" ht="18.75" x14ac:dyDescent="0.25">
      <c r="A34" s="49" t="s">
        <v>97</v>
      </c>
      <c r="B34" s="45"/>
      <c r="C34" s="45"/>
      <c r="D34" s="45"/>
    </row>
    <row r="35" spans="1:4" x14ac:dyDescent="0.25">
      <c r="A35" s="45"/>
      <c r="B35" s="45"/>
      <c r="C35" s="45"/>
      <c r="D35" s="45"/>
    </row>
    <row r="36" spans="1:4" ht="31.5" x14ac:dyDescent="0.25">
      <c r="A36" s="51" t="s">
        <v>98</v>
      </c>
      <c r="B36" s="45"/>
      <c r="C36" s="45"/>
      <c r="D36" s="45"/>
    </row>
    <row r="37" spans="1:4" x14ac:dyDescent="0.25">
      <c r="A37" s="50" t="s">
        <v>99</v>
      </c>
      <c r="B37" s="50" t="s">
        <v>25</v>
      </c>
      <c r="C37" s="52" t="s">
        <v>100</v>
      </c>
      <c r="D37" s="52" t="s">
        <v>101</v>
      </c>
    </row>
    <row r="38" spans="1:4" ht="78.75" x14ac:dyDescent="0.25">
      <c r="A38" s="45" t="s">
        <v>102</v>
      </c>
      <c r="B38" s="45" t="s">
        <v>209</v>
      </c>
      <c r="C38" s="45"/>
      <c r="D38" s="45"/>
    </row>
    <row r="39" spans="1:4" ht="31.5" x14ac:dyDescent="0.25">
      <c r="A39" s="45" t="s">
        <v>103</v>
      </c>
      <c r="B39" s="45" t="s">
        <v>210</v>
      </c>
      <c r="C39" s="45"/>
      <c r="D39" s="45"/>
    </row>
    <row r="40" spans="1:4" ht="173.25" x14ac:dyDescent="0.25">
      <c r="A40" s="45" t="s">
        <v>104</v>
      </c>
      <c r="B40" s="45" t="s">
        <v>211</v>
      </c>
      <c r="C40" s="45"/>
      <c r="D40" s="45"/>
    </row>
    <row r="41" spans="1:4" ht="94.5" x14ac:dyDescent="0.25">
      <c r="A41" s="45" t="s">
        <v>105</v>
      </c>
      <c r="B41" s="45" t="s">
        <v>212</v>
      </c>
      <c r="C41" s="45"/>
      <c r="D41" s="45"/>
    </row>
    <row r="42" spans="1:4" ht="94.5" x14ac:dyDescent="0.25">
      <c r="A42" s="45" t="s">
        <v>106</v>
      </c>
      <c r="B42" s="45" t="s">
        <v>213</v>
      </c>
      <c r="C42" s="45"/>
      <c r="D42" s="45"/>
    </row>
    <row r="43" spans="1:4" ht="47.25" x14ac:dyDescent="0.25">
      <c r="A43" s="45" t="s">
        <v>107</v>
      </c>
      <c r="B43" s="45" t="s">
        <v>214</v>
      </c>
      <c r="C43" s="45"/>
      <c r="D43" s="45"/>
    </row>
    <row r="44" spans="1:4" x14ac:dyDescent="0.25">
      <c r="A44" s="45"/>
      <c r="B44" s="45"/>
      <c r="C44" s="45"/>
      <c r="D44" s="45"/>
    </row>
    <row r="45" spans="1:4" x14ac:dyDescent="0.25">
      <c r="A45" s="51" t="s">
        <v>108</v>
      </c>
      <c r="B45" s="45"/>
      <c r="C45" s="45"/>
      <c r="D45" s="45"/>
    </row>
    <row r="46" spans="1:4" x14ac:dyDescent="0.25">
      <c r="A46" s="50" t="s">
        <v>99</v>
      </c>
      <c r="B46" s="50" t="s">
        <v>25</v>
      </c>
      <c r="C46" s="52" t="s">
        <v>100</v>
      </c>
      <c r="D46" s="52" t="s">
        <v>101</v>
      </c>
    </row>
    <row r="47" spans="1:4" ht="47.25" x14ac:dyDescent="0.25">
      <c r="A47" s="45" t="s">
        <v>109</v>
      </c>
      <c r="B47" s="45" t="s">
        <v>215</v>
      </c>
      <c r="C47" s="45"/>
      <c r="D47" s="45"/>
    </row>
    <row r="48" spans="1:4" ht="110.25" x14ac:dyDescent="0.25">
      <c r="A48" s="45" t="s">
        <v>110</v>
      </c>
      <c r="B48" s="45" t="s">
        <v>216</v>
      </c>
      <c r="C48" s="45"/>
      <c r="D48" s="45"/>
    </row>
    <row r="49" spans="1:4" ht="110.25" x14ac:dyDescent="0.25">
      <c r="A49" s="45" t="s">
        <v>111</v>
      </c>
      <c r="B49" s="45" t="s">
        <v>217</v>
      </c>
      <c r="C49" s="45"/>
      <c r="D49" s="45"/>
    </row>
    <row r="50" spans="1:4" ht="47.25" x14ac:dyDescent="0.25">
      <c r="A50" s="45" t="s">
        <v>112</v>
      </c>
      <c r="B50" s="45" t="s">
        <v>218</v>
      </c>
      <c r="C50" s="45"/>
      <c r="D50" s="45"/>
    </row>
    <row r="51" spans="1:4" x14ac:dyDescent="0.25">
      <c r="A51" s="45"/>
      <c r="B51" s="45"/>
      <c r="C51" s="45"/>
      <c r="D51" s="45"/>
    </row>
    <row r="52" spans="1:4" x14ac:dyDescent="0.25">
      <c r="A52" s="51" t="s">
        <v>113</v>
      </c>
      <c r="B52" s="45"/>
      <c r="C52" s="45"/>
      <c r="D52" s="45"/>
    </row>
    <row r="53" spans="1:4" x14ac:dyDescent="0.25">
      <c r="A53" s="50" t="s">
        <v>99</v>
      </c>
      <c r="B53" s="50" t="s">
        <v>25</v>
      </c>
      <c r="C53" s="52" t="s">
        <v>100</v>
      </c>
      <c r="D53" s="52" t="s">
        <v>101</v>
      </c>
    </row>
    <row r="54" spans="1:4" ht="78.75" x14ac:dyDescent="0.25">
      <c r="A54" s="45" t="s">
        <v>114</v>
      </c>
      <c r="B54" s="45" t="s">
        <v>219</v>
      </c>
      <c r="C54" s="45"/>
      <c r="D54" s="45"/>
    </row>
    <row r="55" spans="1:4" ht="47.25" x14ac:dyDescent="0.25">
      <c r="A55" s="45" t="s">
        <v>115</v>
      </c>
      <c r="B55" s="45" t="s">
        <v>220</v>
      </c>
      <c r="C55" s="45"/>
      <c r="D55" s="45"/>
    </row>
    <row r="56" spans="1:4" ht="31.5" x14ac:dyDescent="0.25">
      <c r="A56" s="45" t="s">
        <v>116</v>
      </c>
      <c r="B56" s="45" t="s">
        <v>221</v>
      </c>
      <c r="C56" s="45"/>
      <c r="D56" s="45"/>
    </row>
    <row r="57" spans="1:4" ht="78.75" x14ac:dyDescent="0.25">
      <c r="A57" s="45" t="s">
        <v>117</v>
      </c>
      <c r="B57" s="45" t="s">
        <v>222</v>
      </c>
      <c r="C57" s="45"/>
      <c r="D57" s="45"/>
    </row>
    <row r="58" spans="1:4" x14ac:dyDescent="0.25">
      <c r="A58" s="45"/>
      <c r="B58" s="45"/>
      <c r="C58" s="45"/>
      <c r="D58" s="45"/>
    </row>
    <row r="59" spans="1:4" ht="31.5" x14ac:dyDescent="0.25">
      <c r="A59" s="51" t="s">
        <v>118</v>
      </c>
      <c r="B59" s="45"/>
      <c r="C59" s="45"/>
      <c r="D59" s="45"/>
    </row>
    <row r="60" spans="1:4" x14ac:dyDescent="0.25">
      <c r="A60" s="50" t="s">
        <v>99</v>
      </c>
      <c r="B60" s="50" t="s">
        <v>25</v>
      </c>
      <c r="C60" s="52" t="s">
        <v>100</v>
      </c>
      <c r="D60" s="52" t="s">
        <v>101</v>
      </c>
    </row>
    <row r="61" spans="1:4" ht="63" x14ac:dyDescent="0.25">
      <c r="A61" s="45" t="s">
        <v>119</v>
      </c>
      <c r="B61" s="45" t="s">
        <v>223</v>
      </c>
      <c r="C61" s="45"/>
      <c r="D61" s="45"/>
    </row>
    <row r="62" spans="1:4" x14ac:dyDescent="0.25">
      <c r="A62" s="45" t="s">
        <v>120</v>
      </c>
      <c r="B62" s="45" t="s">
        <v>224</v>
      </c>
      <c r="C62" s="45"/>
      <c r="D62" s="45"/>
    </row>
    <row r="63" spans="1:4" ht="94.5" x14ac:dyDescent="0.25">
      <c r="A63" s="45" t="s">
        <v>121</v>
      </c>
      <c r="B63" s="45" t="s">
        <v>225</v>
      </c>
      <c r="C63" s="45"/>
      <c r="D63" s="45"/>
    </row>
    <row r="64" spans="1:4" ht="47.25" x14ac:dyDescent="0.25">
      <c r="A64" s="45" t="s">
        <v>122</v>
      </c>
      <c r="B64" s="45" t="s">
        <v>226</v>
      </c>
      <c r="C64" s="45"/>
      <c r="D64" s="45"/>
    </row>
    <row r="65" spans="1:4" x14ac:dyDescent="0.25">
      <c r="A65" s="45"/>
      <c r="B65" s="45"/>
      <c r="C65" s="45"/>
      <c r="D65" s="45"/>
    </row>
    <row r="66" spans="1:4" x14ac:dyDescent="0.25">
      <c r="A66" s="51" t="s">
        <v>123</v>
      </c>
      <c r="B66" s="45"/>
      <c r="C66" s="45"/>
      <c r="D66" s="45"/>
    </row>
    <row r="67" spans="1:4" x14ac:dyDescent="0.25">
      <c r="A67" s="50" t="s">
        <v>99</v>
      </c>
      <c r="B67" s="50" t="s">
        <v>25</v>
      </c>
      <c r="C67" s="52" t="s">
        <v>100</v>
      </c>
      <c r="D67" s="52" t="s">
        <v>101</v>
      </c>
    </row>
    <row r="68" spans="1:4" ht="47.25" x14ac:dyDescent="0.25">
      <c r="A68" s="45" t="s">
        <v>124</v>
      </c>
      <c r="B68" s="45" t="s">
        <v>227</v>
      </c>
      <c r="C68" s="45"/>
      <c r="D68" s="45"/>
    </row>
    <row r="69" spans="1:4" ht="31.5" x14ac:dyDescent="0.25">
      <c r="A69" s="45" t="s">
        <v>125</v>
      </c>
      <c r="B69" s="45" t="s">
        <v>228</v>
      </c>
      <c r="C69" s="45"/>
      <c r="D69" s="45"/>
    </row>
    <row r="70" spans="1:4" x14ac:dyDescent="0.25">
      <c r="A70" s="45" t="s">
        <v>126</v>
      </c>
      <c r="B70" s="45" t="s">
        <v>229</v>
      </c>
      <c r="C70" s="45"/>
      <c r="D70" s="45"/>
    </row>
    <row r="71" spans="1:4" ht="31.5" x14ac:dyDescent="0.25">
      <c r="A71" s="45" t="s">
        <v>127</v>
      </c>
      <c r="B71" s="45" t="s">
        <v>230</v>
      </c>
      <c r="C71" s="45"/>
      <c r="D71" s="45"/>
    </row>
    <row r="72" spans="1:4" ht="31.5" x14ac:dyDescent="0.25">
      <c r="A72" s="45" t="s">
        <v>128</v>
      </c>
      <c r="B72" s="45" t="s">
        <v>231</v>
      </c>
      <c r="C72" s="45"/>
      <c r="D72" s="45"/>
    </row>
    <row r="73" spans="1:4" ht="63" x14ac:dyDescent="0.25">
      <c r="A73" s="45" t="s">
        <v>129</v>
      </c>
      <c r="B73" s="45" t="s">
        <v>232</v>
      </c>
      <c r="C73" s="45"/>
      <c r="D73" s="45"/>
    </row>
    <row r="74" spans="1:4" x14ac:dyDescent="0.25">
      <c r="A74" s="45"/>
      <c r="B74" s="45"/>
      <c r="C74" s="45"/>
      <c r="D74" s="45"/>
    </row>
    <row r="75" spans="1:4" ht="18.75" x14ac:dyDescent="0.25">
      <c r="A75" s="49" t="s">
        <v>130</v>
      </c>
      <c r="B75" s="45"/>
      <c r="C75" s="45"/>
      <c r="D75" s="45"/>
    </row>
    <row r="76" spans="1:4" ht="47.25" x14ac:dyDescent="0.25">
      <c r="A76" s="45" t="s">
        <v>131</v>
      </c>
      <c r="B76" s="45" t="s">
        <v>132</v>
      </c>
      <c r="C76" s="45"/>
      <c r="D76" s="45"/>
    </row>
    <row r="77" spans="1:4" ht="47.25" x14ac:dyDescent="0.25">
      <c r="A77" s="45" t="s">
        <v>133</v>
      </c>
      <c r="B77" s="45" t="s">
        <v>134</v>
      </c>
      <c r="C77" s="45"/>
      <c r="D77" s="45"/>
    </row>
    <row r="78" spans="1:4" ht="31.5" x14ac:dyDescent="0.25">
      <c r="A78" s="45" t="s">
        <v>135</v>
      </c>
      <c r="B78" s="45" t="s">
        <v>136</v>
      </c>
      <c r="C78" s="45"/>
      <c r="D78" s="45"/>
    </row>
    <row r="79" spans="1:4" ht="47.25" x14ac:dyDescent="0.25">
      <c r="A79" s="45" t="s">
        <v>137</v>
      </c>
      <c r="B79" s="45" t="s">
        <v>138</v>
      </c>
      <c r="C79" s="45"/>
      <c r="D79" s="45"/>
    </row>
    <row r="80" spans="1:4" ht="47.25" x14ac:dyDescent="0.25">
      <c r="A80" s="45" t="s">
        <v>249</v>
      </c>
      <c r="B80" s="45" t="s">
        <v>250</v>
      </c>
      <c r="C80" s="45"/>
      <c r="D80" s="45"/>
    </row>
    <row r="81" spans="1:4" ht="18.75" x14ac:dyDescent="0.25">
      <c r="A81" s="49" t="s">
        <v>139</v>
      </c>
      <c r="B81" s="45"/>
      <c r="C81" s="45"/>
      <c r="D81" s="45"/>
    </row>
    <row r="82" spans="1:4" ht="31.5" x14ac:dyDescent="0.25">
      <c r="A82" s="45" t="s">
        <v>140</v>
      </c>
      <c r="B82" s="45" t="s">
        <v>141</v>
      </c>
      <c r="C82" s="45"/>
      <c r="D82" s="45"/>
    </row>
    <row r="83" spans="1:4" ht="31.5" x14ac:dyDescent="0.25">
      <c r="A83" s="45" t="s">
        <v>142</v>
      </c>
      <c r="B83" s="45" t="s">
        <v>143</v>
      </c>
      <c r="C83" s="45"/>
      <c r="D83" s="45"/>
    </row>
    <row r="84" spans="1:4" ht="31.5" x14ac:dyDescent="0.25">
      <c r="A84" s="45" t="s">
        <v>144</v>
      </c>
      <c r="B84" s="45" t="s">
        <v>145</v>
      </c>
      <c r="C84" s="45"/>
      <c r="D84" s="45"/>
    </row>
    <row r="85" spans="1:4" ht="31.5" x14ac:dyDescent="0.25">
      <c r="A85" s="45" t="s">
        <v>146</v>
      </c>
      <c r="B85" s="45" t="s">
        <v>147</v>
      </c>
      <c r="C85" s="45"/>
      <c r="D85" s="45"/>
    </row>
    <row r="86" spans="1:4" ht="31.5" x14ac:dyDescent="0.25">
      <c r="A86" s="45" t="s">
        <v>148</v>
      </c>
      <c r="B86" s="45" t="s">
        <v>149</v>
      </c>
      <c r="C86" s="45"/>
      <c r="D86" s="45"/>
    </row>
    <row r="87" spans="1:4" ht="31.5" x14ac:dyDescent="0.25">
      <c r="A87" s="45" t="s">
        <v>150</v>
      </c>
      <c r="B87" s="45" t="s">
        <v>151</v>
      </c>
      <c r="C87" s="45"/>
      <c r="D87" s="45"/>
    </row>
    <row r="88" spans="1:4" x14ac:dyDescent="0.25">
      <c r="A88" s="45"/>
      <c r="B88" s="45"/>
      <c r="C88" s="45"/>
      <c r="D88" s="45"/>
    </row>
    <row r="89" spans="1:4" ht="18.75" x14ac:dyDescent="0.25">
      <c r="A89" s="49" t="s">
        <v>152</v>
      </c>
      <c r="B89" s="45"/>
      <c r="C89" s="45"/>
      <c r="D89" s="45"/>
    </row>
    <row r="90" spans="1:4" ht="47.25" x14ac:dyDescent="0.25">
      <c r="A90" s="45" t="s">
        <v>153</v>
      </c>
      <c r="B90" s="53" t="s">
        <v>233</v>
      </c>
      <c r="C90" s="45"/>
      <c r="D90" s="45"/>
    </row>
    <row r="91" spans="1:4" ht="63" x14ac:dyDescent="0.25">
      <c r="A91" s="45" t="s">
        <v>154</v>
      </c>
      <c r="B91" s="53" t="s">
        <v>234</v>
      </c>
      <c r="C91" s="45"/>
      <c r="D91" s="45"/>
    </row>
    <row r="92" spans="1:4" x14ac:dyDescent="0.25">
      <c r="A92" s="45" t="s">
        <v>155</v>
      </c>
      <c r="B92" s="53" t="s">
        <v>156</v>
      </c>
      <c r="C92" s="45"/>
      <c r="D92" s="45"/>
    </row>
    <row r="93" spans="1:4" x14ac:dyDescent="0.25">
      <c r="A93" s="45" t="s">
        <v>157</v>
      </c>
      <c r="B93" s="53" t="s">
        <v>158</v>
      </c>
      <c r="C93" s="45"/>
      <c r="D93" s="45"/>
    </row>
    <row r="94" spans="1:4" x14ac:dyDescent="0.25">
      <c r="A94" s="45" t="s">
        <v>159</v>
      </c>
      <c r="B94" s="53" t="s">
        <v>160</v>
      </c>
      <c r="C94" s="45"/>
      <c r="D94" s="45"/>
    </row>
    <row r="95" spans="1:4" x14ac:dyDescent="0.25">
      <c r="A95" s="45"/>
      <c r="B95" s="45"/>
      <c r="C95" s="45"/>
      <c r="D95" s="45"/>
    </row>
    <row r="96" spans="1:4" ht="18.75" x14ac:dyDescent="0.25">
      <c r="A96" s="49" t="s">
        <v>161</v>
      </c>
      <c r="B96" s="45"/>
      <c r="C96" s="45"/>
      <c r="D96" s="45"/>
    </row>
    <row r="97" spans="1:4" ht="31.5" x14ac:dyDescent="0.25">
      <c r="A97" s="45" t="s">
        <v>162</v>
      </c>
      <c r="B97" s="45" t="s">
        <v>235</v>
      </c>
      <c r="C97" s="45"/>
      <c r="D97" s="45"/>
    </row>
    <row r="98" spans="1:4" ht="31.5" x14ac:dyDescent="0.25">
      <c r="A98" s="45" t="s">
        <v>163</v>
      </c>
      <c r="B98" s="45" t="s">
        <v>236</v>
      </c>
      <c r="C98" s="45"/>
      <c r="D98" s="45"/>
    </row>
    <row r="99" spans="1:4" ht="31.5" x14ac:dyDescent="0.25">
      <c r="A99" s="45" t="s">
        <v>164</v>
      </c>
      <c r="B99" s="45" t="s">
        <v>237</v>
      </c>
      <c r="C99" s="45"/>
      <c r="D99" s="45"/>
    </row>
    <row r="100" spans="1:4" ht="31.5" x14ac:dyDescent="0.25">
      <c r="A100" s="45" t="s">
        <v>165</v>
      </c>
      <c r="B100" s="45" t="s">
        <v>238</v>
      </c>
      <c r="C100" s="45"/>
      <c r="D100" s="45"/>
    </row>
    <row r="101" spans="1:4" ht="31.5" x14ac:dyDescent="0.25">
      <c r="A101" s="45" t="s">
        <v>166</v>
      </c>
      <c r="B101" s="45" t="s">
        <v>239</v>
      </c>
      <c r="C101" s="45"/>
      <c r="D101" s="45"/>
    </row>
    <row r="102" spans="1:4" x14ac:dyDescent="0.25">
      <c r="A102" s="45" t="s">
        <v>167</v>
      </c>
      <c r="B102" s="45" t="s">
        <v>240</v>
      </c>
      <c r="C102" s="45"/>
      <c r="D102" s="45"/>
    </row>
    <row r="103" spans="1:4" ht="63" x14ac:dyDescent="0.25">
      <c r="A103" s="45" t="s">
        <v>168</v>
      </c>
      <c r="B103" s="45" t="s">
        <v>241</v>
      </c>
      <c r="C103" s="45"/>
      <c r="D103" s="45"/>
    </row>
    <row r="104" spans="1:4" ht="31.5" x14ac:dyDescent="0.25">
      <c r="A104" s="45" t="s">
        <v>169</v>
      </c>
      <c r="B104" s="45" t="s">
        <v>242</v>
      </c>
      <c r="C104" s="45"/>
      <c r="D104" s="45"/>
    </row>
    <row r="105" spans="1:4" x14ac:dyDescent="0.25">
      <c r="A105" s="45"/>
      <c r="B105" s="45"/>
      <c r="C105" s="45"/>
      <c r="D105" s="45"/>
    </row>
    <row r="106" spans="1:4" ht="18.75" x14ac:dyDescent="0.25">
      <c r="A106" s="49" t="s">
        <v>170</v>
      </c>
      <c r="B106" s="45"/>
      <c r="C106" s="45"/>
      <c r="D106" s="45"/>
    </row>
    <row r="107" spans="1:4" ht="47.25" x14ac:dyDescent="0.25">
      <c r="A107" s="45" t="s">
        <v>171</v>
      </c>
      <c r="B107" s="45" t="s">
        <v>172</v>
      </c>
      <c r="C107" s="45"/>
      <c r="D107" s="45"/>
    </row>
    <row r="108" spans="1:4" ht="31.5" x14ac:dyDescent="0.25">
      <c r="A108" s="45" t="s">
        <v>173</v>
      </c>
      <c r="B108" s="45" t="s">
        <v>174</v>
      </c>
      <c r="C108" s="45"/>
      <c r="D108" s="45"/>
    </row>
    <row r="109" spans="1:4" ht="63" x14ac:dyDescent="0.25">
      <c r="A109" s="45" t="s">
        <v>175</v>
      </c>
      <c r="B109" s="45" t="s">
        <v>243</v>
      </c>
      <c r="C109" s="45"/>
      <c r="D109" s="45"/>
    </row>
    <row r="110" spans="1:4" ht="63" x14ac:dyDescent="0.25">
      <c r="A110" s="45" t="s">
        <v>176</v>
      </c>
      <c r="B110" s="45" t="s">
        <v>244</v>
      </c>
      <c r="C110" s="45"/>
      <c r="D110" s="45"/>
    </row>
    <row r="111" spans="1:4" ht="63" x14ac:dyDescent="0.25">
      <c r="A111" s="45" t="s">
        <v>177</v>
      </c>
      <c r="B111" s="45" t="s">
        <v>245</v>
      </c>
      <c r="C111" s="45"/>
      <c r="D111" s="45"/>
    </row>
    <row r="112" spans="1:4" ht="78.75" x14ac:dyDescent="0.25">
      <c r="A112" s="45" t="s">
        <v>178</v>
      </c>
      <c r="B112" s="45" t="s">
        <v>246</v>
      </c>
      <c r="C112" s="45"/>
      <c r="D112" s="45"/>
    </row>
    <row r="113" spans="1:4" ht="47.25" x14ac:dyDescent="0.25">
      <c r="A113" s="45" t="s">
        <v>179</v>
      </c>
      <c r="B113" s="45" t="s">
        <v>247</v>
      </c>
      <c r="C113" s="45"/>
      <c r="D113" s="45"/>
    </row>
    <row r="114" spans="1:4" x14ac:dyDescent="0.25">
      <c r="A114" s="45" t="s">
        <v>180</v>
      </c>
      <c r="B114" s="45" t="s">
        <v>181</v>
      </c>
      <c r="C114" s="45"/>
      <c r="D114" s="45"/>
    </row>
    <row r="115" spans="1:4" ht="31.5" x14ac:dyDescent="0.25">
      <c r="A115" s="45" t="s">
        <v>182</v>
      </c>
      <c r="B115" s="45" t="s">
        <v>248</v>
      </c>
      <c r="C115" s="45"/>
      <c r="D115" s="45"/>
    </row>
    <row r="116" spans="1:4" x14ac:dyDescent="0.25">
      <c r="A116" s="45"/>
      <c r="B116" s="45"/>
      <c r="C116" s="45"/>
      <c r="D116" s="45"/>
    </row>
    <row r="117" spans="1:4" ht="18.75" x14ac:dyDescent="0.25">
      <c r="A117" s="49" t="s">
        <v>183</v>
      </c>
      <c r="B117" s="45"/>
      <c r="C117" s="45"/>
      <c r="D117" s="45"/>
    </row>
    <row r="118" spans="1:4" x14ac:dyDescent="0.25">
      <c r="A118" s="45" t="s">
        <v>184</v>
      </c>
      <c r="B118" s="45" t="s">
        <v>185</v>
      </c>
      <c r="C118" s="45"/>
      <c r="D118" s="45"/>
    </row>
    <row r="119" spans="1:4" ht="31.5" x14ac:dyDescent="0.25">
      <c r="A119" s="45" t="s">
        <v>186</v>
      </c>
      <c r="B119" s="45" t="s">
        <v>187</v>
      </c>
      <c r="C119" s="45"/>
      <c r="D119" s="45"/>
    </row>
    <row r="120" spans="1:4" x14ac:dyDescent="0.25">
      <c r="A120" s="45"/>
      <c r="B120" s="45"/>
      <c r="C120" s="45"/>
      <c r="D120" s="45"/>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767B7-C883-F446-A63D-1BDC48FFDA4D}">
  <dimension ref="A1:G12"/>
  <sheetViews>
    <sheetView zoomScale="115" zoomScaleNormal="115" workbookViewId="0">
      <selection activeCell="G9" sqref="G9"/>
    </sheetView>
  </sheetViews>
  <sheetFormatPr defaultColWidth="11" defaultRowHeight="15.75" x14ac:dyDescent="0.25"/>
  <cols>
    <col min="1" max="1" width="19" bestFit="1" customWidth="1"/>
    <col min="2" max="2" width="45.125" bestFit="1" customWidth="1"/>
    <col min="4" max="4" width="13.125" customWidth="1"/>
    <col min="5" max="5" width="19.625" customWidth="1"/>
    <col min="7" max="7" width="16.625" bestFit="1" customWidth="1"/>
  </cols>
  <sheetData>
    <row r="1" spans="1:7" x14ac:dyDescent="0.25">
      <c r="A1" s="12" t="s">
        <v>20</v>
      </c>
      <c r="B1" s="12" t="s">
        <v>25</v>
      </c>
      <c r="C1" s="13" t="s">
        <v>0</v>
      </c>
      <c r="D1" s="14" t="s">
        <v>1</v>
      </c>
      <c r="E1" s="12" t="s">
        <v>2</v>
      </c>
      <c r="F1" s="12" t="s">
        <v>3</v>
      </c>
      <c r="G1" s="15" t="s">
        <v>26</v>
      </c>
    </row>
    <row r="2" spans="1:7" x14ac:dyDescent="0.25">
      <c r="A2" s="2" t="s">
        <v>4</v>
      </c>
      <c r="B2" s="2" t="s">
        <v>5</v>
      </c>
      <c r="C2" s="5">
        <v>45839</v>
      </c>
      <c r="D2" s="6">
        <v>45853</v>
      </c>
      <c r="E2" s="2" t="s">
        <v>6</v>
      </c>
      <c r="F2" s="2">
        <v>1</v>
      </c>
      <c r="G2" s="37">
        <v>10000</v>
      </c>
    </row>
    <row r="3" spans="1:7" x14ac:dyDescent="0.25">
      <c r="A3" s="1" t="s">
        <v>4</v>
      </c>
      <c r="B3" s="2" t="s">
        <v>5</v>
      </c>
      <c r="C3" s="3">
        <v>45870</v>
      </c>
      <c r="D3" s="4">
        <v>45891</v>
      </c>
      <c r="E3" s="1" t="s">
        <v>6</v>
      </c>
      <c r="F3" s="1">
        <v>2</v>
      </c>
      <c r="G3" s="37">
        <v>10000</v>
      </c>
    </row>
    <row r="4" spans="1:7" x14ac:dyDescent="0.25">
      <c r="A4" s="2" t="s">
        <v>4</v>
      </c>
      <c r="B4" s="2" t="s">
        <v>5</v>
      </c>
      <c r="C4" s="5">
        <v>45901</v>
      </c>
      <c r="D4" s="6">
        <v>45915</v>
      </c>
      <c r="E4" s="2" t="s">
        <v>6</v>
      </c>
      <c r="F4" s="2">
        <v>3</v>
      </c>
      <c r="G4" s="37">
        <v>10000</v>
      </c>
    </row>
    <row r="5" spans="1:7" x14ac:dyDescent="0.25">
      <c r="A5" s="1" t="s">
        <v>4</v>
      </c>
      <c r="B5" s="2" t="s">
        <v>5</v>
      </c>
      <c r="C5" s="3">
        <v>45931</v>
      </c>
      <c r="D5" s="4">
        <v>45945</v>
      </c>
      <c r="E5" s="1" t="s">
        <v>6</v>
      </c>
      <c r="F5" s="2">
        <v>4</v>
      </c>
      <c r="G5" s="37">
        <v>10000</v>
      </c>
    </row>
    <row r="6" spans="1:7" x14ac:dyDescent="0.25">
      <c r="A6" s="2" t="s">
        <v>4</v>
      </c>
      <c r="B6" s="2" t="s">
        <v>30</v>
      </c>
      <c r="C6" s="5">
        <v>45839</v>
      </c>
      <c r="D6" s="6">
        <v>45853</v>
      </c>
      <c r="E6" s="2" t="s">
        <v>6</v>
      </c>
      <c r="F6" s="1">
        <v>5</v>
      </c>
      <c r="G6" s="37">
        <v>5000</v>
      </c>
    </row>
    <row r="7" spans="1:7" x14ac:dyDescent="0.25">
      <c r="A7" s="1" t="s">
        <v>4</v>
      </c>
      <c r="B7" s="2" t="s">
        <v>30</v>
      </c>
      <c r="C7" s="3">
        <v>45870</v>
      </c>
      <c r="D7" s="4">
        <v>45891</v>
      </c>
      <c r="E7" s="1" t="s">
        <v>6</v>
      </c>
      <c r="F7" s="2">
        <v>6</v>
      </c>
      <c r="G7" s="37">
        <v>5000</v>
      </c>
    </row>
    <row r="8" spans="1:7" x14ac:dyDescent="0.25">
      <c r="A8" s="2" t="s">
        <v>4</v>
      </c>
      <c r="B8" s="2" t="s">
        <v>30</v>
      </c>
      <c r="C8" s="5">
        <v>45901</v>
      </c>
      <c r="D8" s="6">
        <v>45915</v>
      </c>
      <c r="E8" s="2" t="s">
        <v>6</v>
      </c>
      <c r="F8" s="2">
        <v>7</v>
      </c>
      <c r="G8" s="37">
        <v>5000</v>
      </c>
    </row>
    <row r="9" spans="1:7" x14ac:dyDescent="0.25">
      <c r="A9" s="1" t="s">
        <v>4</v>
      </c>
      <c r="B9" s="2" t="s">
        <v>30</v>
      </c>
      <c r="C9" s="3">
        <v>45931</v>
      </c>
      <c r="D9" s="4">
        <v>45945</v>
      </c>
      <c r="E9" s="1" t="s">
        <v>6</v>
      </c>
      <c r="F9" s="1">
        <v>8</v>
      </c>
      <c r="G9" s="37">
        <v>5000</v>
      </c>
    </row>
    <row r="10" spans="1:7" x14ac:dyDescent="0.25">
      <c r="A10" s="11" t="s">
        <v>31</v>
      </c>
      <c r="B10" s="11" t="s">
        <v>32</v>
      </c>
      <c r="C10" s="5">
        <v>45839</v>
      </c>
      <c r="D10" s="6">
        <v>45853</v>
      </c>
      <c r="E10" s="2" t="s">
        <v>6</v>
      </c>
      <c r="F10" s="2">
        <v>9</v>
      </c>
      <c r="G10" s="38">
        <v>5000</v>
      </c>
    </row>
    <row r="11" spans="1:7" x14ac:dyDescent="0.25">
      <c r="A11" s="11" t="s">
        <v>31</v>
      </c>
      <c r="B11" s="11" t="s">
        <v>32</v>
      </c>
      <c r="C11" s="3">
        <v>45870</v>
      </c>
      <c r="D11" s="4">
        <v>45891</v>
      </c>
      <c r="E11" s="1" t="s">
        <v>6</v>
      </c>
      <c r="F11" s="2">
        <v>10</v>
      </c>
      <c r="G11" s="38">
        <v>5000</v>
      </c>
    </row>
    <row r="12" spans="1:7" x14ac:dyDescent="0.25">
      <c r="A12" s="11" t="s">
        <v>31</v>
      </c>
      <c r="B12" s="11" t="s">
        <v>32</v>
      </c>
      <c r="C12" s="5">
        <v>45901</v>
      </c>
      <c r="D12" s="6">
        <v>45915</v>
      </c>
      <c r="E12" s="2" t="s">
        <v>6</v>
      </c>
      <c r="F12" s="1">
        <v>11</v>
      </c>
      <c r="G12" s="38">
        <v>5000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3E70B-E114-DB47-9B54-E2155041469A}">
  <dimension ref="A1:F9"/>
  <sheetViews>
    <sheetView zoomScale="70" zoomScaleNormal="70" workbookViewId="0">
      <selection activeCell="A3" sqref="A3"/>
    </sheetView>
  </sheetViews>
  <sheetFormatPr defaultColWidth="11" defaultRowHeight="15.75" x14ac:dyDescent="0.25"/>
  <cols>
    <col min="1" max="1" width="26.375" bestFit="1" customWidth="1"/>
    <col min="2" max="2" width="10.5" bestFit="1" customWidth="1"/>
    <col min="3" max="3" width="8.625" customWidth="1"/>
    <col min="4" max="4" width="114.125" bestFit="1" customWidth="1"/>
    <col min="5" max="5" width="10.375" customWidth="1"/>
    <col min="6" max="6" width="18.125" customWidth="1"/>
  </cols>
  <sheetData>
    <row r="1" spans="1:6" x14ac:dyDescent="0.25">
      <c r="A1" s="12" t="s">
        <v>7</v>
      </c>
      <c r="B1" s="12" t="s">
        <v>0</v>
      </c>
      <c r="C1" s="14" t="s">
        <v>8</v>
      </c>
      <c r="D1" s="12" t="s">
        <v>9</v>
      </c>
      <c r="E1" s="12" t="s">
        <v>10</v>
      </c>
      <c r="F1" s="22" t="s">
        <v>11</v>
      </c>
    </row>
    <row r="2" spans="1:6" x14ac:dyDescent="0.25">
      <c r="A2" s="1" t="s">
        <v>12</v>
      </c>
      <c r="B2" s="2" t="s">
        <v>13</v>
      </c>
      <c r="C2" s="7">
        <v>45869</v>
      </c>
      <c r="D2" s="2" t="s">
        <v>45</v>
      </c>
      <c r="E2" s="1" t="s">
        <v>14</v>
      </c>
      <c r="F2" s="20">
        <v>5000</v>
      </c>
    </row>
    <row r="3" spans="1:6" x14ac:dyDescent="0.25">
      <c r="A3" s="1" t="s">
        <v>12</v>
      </c>
      <c r="B3" s="2" t="s">
        <v>15</v>
      </c>
      <c r="C3" s="8">
        <f>C2+30</f>
        <v>45899</v>
      </c>
      <c r="D3" s="2" t="s">
        <v>45</v>
      </c>
      <c r="E3" s="1" t="s">
        <v>14</v>
      </c>
      <c r="F3" s="21">
        <v>7000</v>
      </c>
    </row>
    <row r="4" spans="1:6" x14ac:dyDescent="0.25">
      <c r="A4" s="1" t="s">
        <v>12</v>
      </c>
      <c r="B4" s="1" t="s">
        <v>16</v>
      </c>
      <c r="C4" s="8">
        <f t="shared" ref="C4:C5" si="0">C3+30</f>
        <v>45929</v>
      </c>
      <c r="D4" s="2" t="s">
        <v>45</v>
      </c>
      <c r="E4" s="1" t="s">
        <v>14</v>
      </c>
      <c r="F4" s="20">
        <v>3000</v>
      </c>
    </row>
    <row r="5" spans="1:6" x14ac:dyDescent="0.25">
      <c r="A5" s="1" t="s">
        <v>12</v>
      </c>
      <c r="B5" s="2" t="s">
        <v>17</v>
      </c>
      <c r="C5" s="8">
        <f t="shared" si="0"/>
        <v>45959</v>
      </c>
      <c r="D5" s="2" t="s">
        <v>45</v>
      </c>
      <c r="E5" s="1" t="s">
        <v>14</v>
      </c>
      <c r="F5" s="21">
        <v>12000</v>
      </c>
    </row>
    <row r="6" spans="1:6" x14ac:dyDescent="0.25">
      <c r="A6" s="1" t="s">
        <v>12</v>
      </c>
      <c r="B6" s="2" t="s">
        <v>13</v>
      </c>
      <c r="C6" s="7">
        <v>45869</v>
      </c>
      <c r="D6" s="2" t="s">
        <v>44</v>
      </c>
      <c r="E6" s="1" t="s">
        <v>14</v>
      </c>
      <c r="F6" s="20">
        <v>2000</v>
      </c>
    </row>
    <row r="7" spans="1:6" x14ac:dyDescent="0.25">
      <c r="A7" s="1" t="s">
        <v>12</v>
      </c>
      <c r="B7" s="2" t="s">
        <v>15</v>
      </c>
      <c r="C7" s="8">
        <f>C6+30</f>
        <v>45899</v>
      </c>
      <c r="D7" s="2" t="s">
        <v>44</v>
      </c>
      <c r="E7" s="1" t="s">
        <v>14</v>
      </c>
      <c r="F7" s="21">
        <v>10000</v>
      </c>
    </row>
    <row r="8" spans="1:6" x14ac:dyDescent="0.25">
      <c r="A8" s="1" t="s">
        <v>12</v>
      </c>
      <c r="B8" s="1" t="s">
        <v>16</v>
      </c>
      <c r="C8" s="8">
        <f t="shared" ref="C8:C9" si="1">C7+30</f>
        <v>45929</v>
      </c>
      <c r="D8" s="2" t="s">
        <v>44</v>
      </c>
      <c r="E8" s="1" t="s">
        <v>14</v>
      </c>
      <c r="F8" s="20">
        <v>8000</v>
      </c>
    </row>
    <row r="9" spans="1:6" x14ac:dyDescent="0.25">
      <c r="A9" s="23" t="s">
        <v>12</v>
      </c>
      <c r="B9" s="24" t="s">
        <v>17</v>
      </c>
      <c r="C9" s="25">
        <f t="shared" si="1"/>
        <v>45959</v>
      </c>
      <c r="D9" s="2" t="s">
        <v>44</v>
      </c>
      <c r="E9" s="23" t="s">
        <v>14</v>
      </c>
      <c r="F9" s="26">
        <v>6000</v>
      </c>
    </row>
  </sheetData>
  <phoneticPr fontId="3" type="noConversion"/>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807D7-3258-4423-8EB2-3A5AEBE44BA7}">
  <dimension ref="A1:F3"/>
  <sheetViews>
    <sheetView workbookViewId="0">
      <selection activeCell="B1" sqref="B1"/>
    </sheetView>
  </sheetViews>
  <sheetFormatPr defaultColWidth="8.875" defaultRowHeight="15.75" x14ac:dyDescent="0.25"/>
  <cols>
    <col min="1" max="1" width="11.625" customWidth="1"/>
    <col min="2" max="2" width="10.125" customWidth="1"/>
    <col min="3" max="3" width="13.5" customWidth="1"/>
    <col min="4" max="4" width="17.125" bestFit="1" customWidth="1"/>
    <col min="5" max="5" width="15.125" customWidth="1"/>
    <col min="6" max="6" width="12.375" customWidth="1"/>
  </cols>
  <sheetData>
    <row r="1" spans="1:6" x14ac:dyDescent="0.25">
      <c r="A1" s="10" t="s">
        <v>35</v>
      </c>
      <c r="B1" s="10" t="s">
        <v>36</v>
      </c>
      <c r="C1" s="10" t="s">
        <v>34</v>
      </c>
      <c r="D1" s="10" t="s">
        <v>27</v>
      </c>
      <c r="E1" s="10" t="s">
        <v>29</v>
      </c>
      <c r="F1" s="10" t="s">
        <v>19</v>
      </c>
    </row>
    <row r="2" spans="1:6" x14ac:dyDescent="0.25">
      <c r="A2" t="s">
        <v>37</v>
      </c>
      <c r="B2" t="s">
        <v>38</v>
      </c>
      <c r="C2">
        <v>45556</v>
      </c>
      <c r="D2" t="s">
        <v>28</v>
      </c>
      <c r="E2">
        <v>1034</v>
      </c>
      <c r="F2">
        <v>14020</v>
      </c>
    </row>
    <row r="3" spans="1:6" x14ac:dyDescent="0.25">
      <c r="A3" t="s">
        <v>39</v>
      </c>
      <c r="B3" t="s">
        <v>40</v>
      </c>
      <c r="C3">
        <v>78543</v>
      </c>
      <c r="D3" t="s">
        <v>33</v>
      </c>
      <c r="E3">
        <v>1020</v>
      </c>
      <c r="F3">
        <v>13010</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ABCE4-94E5-4703-ACD5-050C8EADF4CC}">
  <dimension ref="A1:V5"/>
  <sheetViews>
    <sheetView workbookViewId="0">
      <selection activeCell="T4" sqref="T4"/>
    </sheetView>
  </sheetViews>
  <sheetFormatPr defaultColWidth="8.875" defaultRowHeight="15.75" x14ac:dyDescent="0.25"/>
  <cols>
    <col min="1" max="1" width="9.625" bestFit="1" customWidth="1"/>
    <col min="2" max="2" width="8.625" bestFit="1" customWidth="1"/>
    <col min="3" max="3" width="11.625" bestFit="1" customWidth="1"/>
    <col min="4" max="4" width="17.125" bestFit="1" customWidth="1"/>
    <col min="5" max="5" width="13.375" bestFit="1" customWidth="1"/>
    <col min="6" max="6" width="10.5" bestFit="1" customWidth="1"/>
    <col min="7" max="8" width="10.5" customWidth="1"/>
    <col min="9" max="9" width="18.875" customWidth="1"/>
    <col min="10" max="10" width="15.625" customWidth="1"/>
    <col min="11" max="11" width="15.125" customWidth="1"/>
    <col min="12" max="12" width="15.625" customWidth="1"/>
  </cols>
  <sheetData>
    <row r="1" spans="1:22" x14ac:dyDescent="0.25">
      <c r="I1" s="10" t="s">
        <v>41</v>
      </c>
      <c r="N1" s="10" t="s">
        <v>42</v>
      </c>
      <c r="S1" s="10" t="s">
        <v>43</v>
      </c>
    </row>
    <row r="3" spans="1:22" x14ac:dyDescent="0.25">
      <c r="A3" s="16" t="s">
        <v>35</v>
      </c>
      <c r="B3" s="17" t="s">
        <v>36</v>
      </c>
      <c r="C3" s="17" t="s">
        <v>34</v>
      </c>
      <c r="D3" s="17" t="s">
        <v>27</v>
      </c>
      <c r="E3" s="17" t="s">
        <v>29</v>
      </c>
      <c r="F3" s="18" t="s">
        <v>19</v>
      </c>
      <c r="G3" s="33"/>
      <c r="H3" s="34" t="s">
        <v>48</v>
      </c>
      <c r="I3" s="34" t="s">
        <v>13</v>
      </c>
      <c r="J3" s="34" t="s">
        <v>15</v>
      </c>
      <c r="K3" s="34" t="s">
        <v>16</v>
      </c>
      <c r="L3" s="34" t="s">
        <v>17</v>
      </c>
      <c r="M3" s="35"/>
      <c r="N3" s="34" t="s">
        <v>13</v>
      </c>
      <c r="O3" s="34" t="s">
        <v>15</v>
      </c>
      <c r="P3" s="34" t="s">
        <v>16</v>
      </c>
      <c r="Q3" s="34" t="s">
        <v>17</v>
      </c>
      <c r="R3" s="35"/>
      <c r="S3" s="34" t="s">
        <v>13</v>
      </c>
      <c r="T3" s="34" t="s">
        <v>15</v>
      </c>
      <c r="U3" s="34" t="s">
        <v>16</v>
      </c>
      <c r="V3" s="34" t="s">
        <v>17</v>
      </c>
    </row>
    <row r="4" spans="1:22" x14ac:dyDescent="0.25">
      <c r="A4" s="19" t="str" cm="1">
        <f t="array" ref="A4:F5">tblStaffList[]</f>
        <v>John</v>
      </c>
      <c r="B4" s="19" t="str">
        <v>Smith</v>
      </c>
      <c r="C4" s="19">
        <v>45556</v>
      </c>
      <c r="D4" s="19" t="str">
        <v>Financial Controller</v>
      </c>
      <c r="E4" s="19">
        <v>1034</v>
      </c>
      <c r="F4" s="19">
        <v>14020</v>
      </c>
      <c r="H4" t="str">
        <f>E4&amp;"_"&amp;F4</f>
        <v>1034_14020</v>
      </c>
      <c r="I4" s="35">
        <f>SUMIFS(tblGeneralLedger[Amount],tblGeneralLedger[Period],Calcs_Original!I$3,tblGeneralLedger[Description],"Salary for " &amp; $D4 &amp; "*")</f>
        <v>10000</v>
      </c>
      <c r="J4" s="35">
        <f>SUMIFS(tblGeneralLedger[Amount],tblGeneralLedger[Period],Calcs_Original!J$3,tblGeneralLedger[Description],"Salary for " &amp; $D4 &amp; "*")</f>
        <v>10000</v>
      </c>
      <c r="K4" s="35">
        <f>SUMIFS(tblGeneralLedger[Amount],tblGeneralLedger[Period],Calcs_Original!K$3,tblGeneralLedger[Description],"Salary for " &amp; $D4 &amp; "*")</f>
        <v>10000</v>
      </c>
      <c r="L4" s="35">
        <f>SUMIFS(tblGeneralLedger[Amount],tblGeneralLedger[Period],Calcs_Original!L$3,tblGeneralLedger[Description],"Salary for " &amp; $D4 &amp; "*")</f>
        <v>10000</v>
      </c>
      <c r="M4" s="35"/>
      <c r="N4" s="35">
        <f>SUMIFS(tblBankStatement[Bank account amt],tblBankStatement[Period],N$3,tblBankStatement[Text],"Salary Payment-" &amp; $A4 &amp; " " &amp; $B4)</f>
        <v>5000</v>
      </c>
      <c r="O4" s="35">
        <f>SUMIFS(tblBankStatement[Bank account amt],tblBankStatement[Period],O$3,tblBankStatement[Text],"Salary Payment-" &amp; $A4 &amp; " " &amp; $B4)</f>
        <v>7000</v>
      </c>
      <c r="P4" s="35">
        <f>SUMIFS(tblBankStatement[Bank account amt],tblBankStatement[Period],P$3,tblBankStatement[Text],"Salary Payment-" &amp; $A4 &amp; " " &amp; $B4)</f>
        <v>3000</v>
      </c>
      <c r="Q4" s="35">
        <f>SUMIFS(tblBankStatement[Bank account amt],tblBankStatement[Period],Q$3,tblBankStatement[Text],"Salary Payment-" &amp; $A4 &amp; " " &amp; $B4)</f>
        <v>12000</v>
      </c>
      <c r="R4" s="35"/>
      <c r="S4" s="35">
        <f>I4-N4</f>
        <v>5000</v>
      </c>
      <c r="T4" s="35">
        <f t="shared" ref="T4:T5" si="0">J4-O4</f>
        <v>3000</v>
      </c>
      <c r="U4" s="35">
        <f t="shared" ref="U4:U5" si="1">K4-P4</f>
        <v>7000</v>
      </c>
      <c r="V4" s="35">
        <f t="shared" ref="V4:V5" si="2">L4-Q4</f>
        <v>-2000</v>
      </c>
    </row>
    <row r="5" spans="1:22" x14ac:dyDescent="0.25">
      <c r="A5" s="19" t="str">
        <v>Jane</v>
      </c>
      <c r="B5" s="19" t="str">
        <v>Meadows</v>
      </c>
      <c r="C5" s="19">
        <v>78543</v>
      </c>
      <c r="D5" s="19" t="str">
        <v>Financial Analyst</v>
      </c>
      <c r="E5" s="19">
        <v>1020</v>
      </c>
      <c r="F5" s="19">
        <v>13010</v>
      </c>
      <c r="H5" t="str">
        <f>E5&amp;"_"&amp;F5</f>
        <v>1020_13010</v>
      </c>
      <c r="I5" s="35">
        <f>SUMIFS(tblGeneralLedger[Amount],tblGeneralLedger[Period],Calcs_Original!I$3,tblGeneralLedger[Description],"Salary for " &amp; $D5 &amp; "*")</f>
        <v>5000</v>
      </c>
      <c r="J5" s="35">
        <f>SUMIFS(tblGeneralLedger[Amount],tblGeneralLedger[Period],Calcs_Original!J$3,tblGeneralLedger[Description],"Salary for " &amp; $D5 &amp; "*")</f>
        <v>5000</v>
      </c>
      <c r="K5" s="35">
        <f>SUMIFS(tblGeneralLedger[Amount],tblGeneralLedger[Period],Calcs_Original!K$3,tblGeneralLedger[Description],"Salary for " &amp; $D5 &amp; "*")</f>
        <v>5000</v>
      </c>
      <c r="L5" s="35">
        <f>SUMIFS(tblGeneralLedger[Amount],tblGeneralLedger[Period],Calcs_Original!L$3,tblGeneralLedger[Description],"Salary for " &amp; $D5 &amp; "*")</f>
        <v>5000</v>
      </c>
      <c r="M5" s="35"/>
      <c r="N5" s="35">
        <f>SUMIFS(tblBankStatement[Bank account amt],tblBankStatement[Period],N$3,tblBankStatement[Text],"Salary Payment-" &amp; $A5 &amp; " " &amp; $B5)</f>
        <v>2000</v>
      </c>
      <c r="O5" s="35">
        <f>SUMIFS(tblBankStatement[Bank account amt],tblBankStatement[Period],O$3,tblBankStatement[Text],"Salary Payment-" &amp; $A5 &amp; " " &amp; $B5)</f>
        <v>10000</v>
      </c>
      <c r="P5" s="35">
        <f>SUMIFS(tblBankStatement[Bank account amt],tblBankStatement[Period],P$3,tblBankStatement[Text],"Salary Payment-" &amp; $A5 &amp; " " &amp; $B5)</f>
        <v>8000</v>
      </c>
      <c r="Q5" s="35">
        <f>SUMIFS(tblBankStatement[Bank account amt],tblBankStatement[Period],Q$3,tblBankStatement[Text],"Salary Payment-" &amp; $A5 &amp; " " &amp; $B5)</f>
        <v>6000</v>
      </c>
      <c r="R5" s="35"/>
      <c r="S5" s="35">
        <f t="shared" ref="S5" si="3">I5-N5</f>
        <v>3000</v>
      </c>
      <c r="T5" s="35">
        <f t="shared" si="0"/>
        <v>-5000</v>
      </c>
      <c r="U5" s="35">
        <f t="shared" si="1"/>
        <v>-3000</v>
      </c>
      <c r="V5" s="35">
        <f t="shared" si="2"/>
        <v>-1000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C197B6-7A78-5846-8B68-E038B1B8DC2E}">
  <dimension ref="A2:I93"/>
  <sheetViews>
    <sheetView topLeftCell="A34" zoomScale="87" workbookViewId="0">
      <selection activeCell="G51" sqref="G36:G51"/>
    </sheetView>
  </sheetViews>
  <sheetFormatPr defaultColWidth="11" defaultRowHeight="15.75" x14ac:dyDescent="0.25"/>
  <cols>
    <col min="2" max="2" width="8.875" bestFit="1" customWidth="1"/>
    <col min="3" max="3" width="11" bestFit="1" customWidth="1"/>
    <col min="4" max="4" width="8" bestFit="1" customWidth="1"/>
    <col min="5" max="5" width="26.375" bestFit="1" customWidth="1"/>
    <col min="6" max="7" width="12.125" bestFit="1" customWidth="1"/>
    <col min="8" max="8" width="16" bestFit="1" customWidth="1"/>
    <col min="9" max="9" width="30" style="31" bestFit="1" customWidth="1"/>
  </cols>
  <sheetData>
    <row r="2" spans="1:9" x14ac:dyDescent="0.25">
      <c r="I2" s="32" t="s">
        <v>47</v>
      </c>
    </row>
    <row r="3" spans="1:9" x14ac:dyDescent="0.25">
      <c r="A3" s="9" t="s">
        <v>46</v>
      </c>
    </row>
    <row r="4" spans="1:9" x14ac:dyDescent="0.25">
      <c r="I4" s="32" t="s">
        <v>49</v>
      </c>
    </row>
    <row r="5" spans="1:9" x14ac:dyDescent="0.25">
      <c r="A5" s="36" t="s">
        <v>50</v>
      </c>
      <c r="I5" s="32"/>
    </row>
    <row r="7" spans="1:9" x14ac:dyDescent="0.25">
      <c r="A7" s="9" t="s">
        <v>0</v>
      </c>
      <c r="B7" s="9" t="s">
        <v>18</v>
      </c>
      <c r="C7" s="10" t="s">
        <v>19</v>
      </c>
      <c r="D7" s="9" t="s">
        <v>20</v>
      </c>
      <c r="E7" s="9" t="s">
        <v>21</v>
      </c>
      <c r="F7" s="9" t="s">
        <v>22</v>
      </c>
      <c r="G7" s="9" t="s">
        <v>23</v>
      </c>
    </row>
    <row r="8" spans="1:9" x14ac:dyDescent="0.25">
      <c r="A8" s="3">
        <v>45839</v>
      </c>
      <c r="B8" s="29">
        <v>1034</v>
      </c>
      <c r="C8" s="27">
        <v>14020</v>
      </c>
      <c r="D8">
        <f>IF(I8&gt;0,30910,20100)</f>
        <v>30910</v>
      </c>
      <c r="E8" t="str">
        <f>IF(I8&gt;0,"Accrued Salary Cost","Salary Overpayment Credit")</f>
        <v>Accrued Salary Cost</v>
      </c>
      <c r="F8">
        <f>IF(I8&gt;0,I8,0)</f>
        <v>5000</v>
      </c>
      <c r="G8">
        <f>IF(I8&gt;0,0,ABS(I8))</f>
        <v>0</v>
      </c>
      <c r="I8" s="31">
        <f>SUM(INDEX(Calcs_Original!S:V,MATCH(Journal_Original!B8&amp;"_"&amp;Journal_Original!C8,Calcs_Original!H:H,0),MATCH(TEXT(A8,"MMM/yyyy"),Calcs_Original!S$3:V$3,0)))</f>
        <v>5000</v>
      </c>
    </row>
    <row r="9" spans="1:9" x14ac:dyDescent="0.25">
      <c r="A9" s="3">
        <v>45870</v>
      </c>
      <c r="B9" s="29">
        <v>1034</v>
      </c>
      <c r="C9" s="27">
        <v>14020</v>
      </c>
      <c r="D9">
        <f t="shared" ref="D9:D15" si="0">IF(I9&gt;0,30910,20100)</f>
        <v>30910</v>
      </c>
      <c r="E9" t="str">
        <f t="shared" ref="E9:E15" si="1">IF(I9&gt;0,"Accrued Salary Cost","Salary Overpayment Credit")</f>
        <v>Accrued Salary Cost</v>
      </c>
      <c r="F9">
        <f t="shared" ref="F9:F15" si="2">IF(I9&gt;0,I9,0)</f>
        <v>3000</v>
      </c>
      <c r="G9">
        <f t="shared" ref="G9:G15" si="3">IF(I9&gt;0,0,ABS(I9))</f>
        <v>0</v>
      </c>
      <c r="I9" s="31">
        <f>SUM(INDEX(Calcs_Original!S:V,MATCH(Journal_Original!B9&amp;"_"&amp;Journal_Original!C9,Calcs_Original!H:H,0),MATCH(TEXT(A9,"MMM/yyyy"),Calcs_Original!S$3:V$3,0)))</f>
        <v>3000</v>
      </c>
    </row>
    <row r="10" spans="1:9" x14ac:dyDescent="0.25">
      <c r="A10" s="3">
        <v>45901</v>
      </c>
      <c r="B10" s="29">
        <v>1034</v>
      </c>
      <c r="C10" s="27">
        <v>14020</v>
      </c>
      <c r="D10">
        <f t="shared" si="0"/>
        <v>30910</v>
      </c>
      <c r="E10" t="str">
        <f t="shared" si="1"/>
        <v>Accrued Salary Cost</v>
      </c>
      <c r="F10">
        <f t="shared" si="2"/>
        <v>7000</v>
      </c>
      <c r="G10">
        <f t="shared" si="3"/>
        <v>0</v>
      </c>
      <c r="I10" s="31">
        <f>SUM(INDEX(Calcs_Original!S:V,MATCH(Journal_Original!B10&amp;"_"&amp;Journal_Original!C10,Calcs_Original!H:H,0),MATCH(TEXT(A10,"MMM/yyyy"),Calcs_Original!S$3:V$3,0)))</f>
        <v>7000</v>
      </c>
    </row>
    <row r="11" spans="1:9" x14ac:dyDescent="0.25">
      <c r="A11" s="3">
        <v>45931</v>
      </c>
      <c r="B11" s="29">
        <v>1034</v>
      </c>
      <c r="C11" s="27">
        <v>14020</v>
      </c>
      <c r="D11">
        <f t="shared" si="0"/>
        <v>20100</v>
      </c>
      <c r="E11" t="str">
        <f t="shared" si="1"/>
        <v>Salary Overpayment Credit</v>
      </c>
      <c r="F11">
        <f t="shared" si="2"/>
        <v>0</v>
      </c>
      <c r="G11">
        <f t="shared" si="3"/>
        <v>2000</v>
      </c>
      <c r="I11" s="31">
        <f>SUM(INDEX(Calcs_Original!S:V,MATCH(Journal_Original!B11&amp;"_"&amp;Journal_Original!C11,Calcs_Original!H:H,0),MATCH(TEXT(A11,"MMM/yyyy"),Calcs_Original!S$3:V$3,0)))</f>
        <v>-2000</v>
      </c>
    </row>
    <row r="12" spans="1:9" x14ac:dyDescent="0.25">
      <c r="A12" s="3">
        <v>45839</v>
      </c>
      <c r="B12" s="30">
        <v>1020</v>
      </c>
      <c r="C12" s="28">
        <v>13010</v>
      </c>
      <c r="D12">
        <f t="shared" si="0"/>
        <v>30910</v>
      </c>
      <c r="E12" t="str">
        <f t="shared" si="1"/>
        <v>Accrued Salary Cost</v>
      </c>
      <c r="F12">
        <f t="shared" si="2"/>
        <v>3000</v>
      </c>
      <c r="G12">
        <f t="shared" si="3"/>
        <v>0</v>
      </c>
      <c r="I12" s="31">
        <f>SUM(INDEX(Calcs_Original!S:V,MATCH(Journal_Original!B12&amp;"_"&amp;Journal_Original!C12,Calcs_Original!H:H,0),MATCH(TEXT(A12,"MMM/yyyy"),Calcs_Original!S$3:V$3,0)))</f>
        <v>3000</v>
      </c>
    </row>
    <row r="13" spans="1:9" x14ac:dyDescent="0.25">
      <c r="A13" s="3">
        <v>45870</v>
      </c>
      <c r="B13" s="30">
        <v>1020</v>
      </c>
      <c r="C13" s="28">
        <v>13010</v>
      </c>
      <c r="D13">
        <f t="shared" si="0"/>
        <v>20100</v>
      </c>
      <c r="E13" t="str">
        <f t="shared" si="1"/>
        <v>Salary Overpayment Credit</v>
      </c>
      <c r="F13">
        <f t="shared" si="2"/>
        <v>0</v>
      </c>
      <c r="G13">
        <f t="shared" si="3"/>
        <v>5000</v>
      </c>
      <c r="I13" s="31">
        <f>SUM(INDEX(Calcs_Original!S:V,MATCH(Journal_Original!B13&amp;"_"&amp;Journal_Original!C13,Calcs_Original!H:H,0),MATCH(TEXT(A13,"MMM/yyyy"),Calcs_Original!S$3:V$3,0)))</f>
        <v>-5000</v>
      </c>
    </row>
    <row r="14" spans="1:9" x14ac:dyDescent="0.25">
      <c r="A14" s="3">
        <v>45901</v>
      </c>
      <c r="B14" s="30">
        <v>1020</v>
      </c>
      <c r="C14" s="28">
        <v>13010</v>
      </c>
      <c r="D14">
        <f t="shared" si="0"/>
        <v>20100</v>
      </c>
      <c r="E14" t="str">
        <f t="shared" si="1"/>
        <v>Salary Overpayment Credit</v>
      </c>
      <c r="F14">
        <f t="shared" si="2"/>
        <v>0</v>
      </c>
      <c r="G14">
        <f t="shared" si="3"/>
        <v>3000</v>
      </c>
      <c r="I14" s="31">
        <f>SUM(INDEX(Calcs_Original!S:V,MATCH(Journal_Original!B14&amp;"_"&amp;Journal_Original!C14,Calcs_Original!H:H,0),MATCH(TEXT(A14,"MMM/yyyy"),Calcs_Original!S$3:V$3,0)))</f>
        <v>-3000</v>
      </c>
    </row>
    <row r="15" spans="1:9" x14ac:dyDescent="0.25">
      <c r="A15" s="3">
        <v>45931</v>
      </c>
      <c r="B15" s="30">
        <v>1020</v>
      </c>
      <c r="C15" s="28">
        <v>13010</v>
      </c>
      <c r="D15">
        <f t="shared" si="0"/>
        <v>20100</v>
      </c>
      <c r="E15" t="str">
        <f t="shared" si="1"/>
        <v>Salary Overpayment Credit</v>
      </c>
      <c r="F15">
        <f t="shared" si="2"/>
        <v>0</v>
      </c>
      <c r="G15">
        <f t="shared" si="3"/>
        <v>1000</v>
      </c>
      <c r="I15" s="31">
        <f>SUM(INDEX(Calcs_Original!S:V,MATCH(Journal_Original!B15&amp;"_"&amp;Journal_Original!C15,Calcs_Original!H:H,0),MATCH(TEXT(A15,"MMM/yyyy"),Calcs_Original!S$3:V$3,0)))</f>
        <v>-1000</v>
      </c>
    </row>
    <row r="19" spans="1:9" x14ac:dyDescent="0.25">
      <c r="A19" s="36" t="s">
        <v>51</v>
      </c>
      <c r="I19" s="32"/>
    </row>
    <row r="21" spans="1:9" x14ac:dyDescent="0.25">
      <c r="A21" s="9" t="s">
        <v>0</v>
      </c>
      <c r="B21" s="9" t="s">
        <v>18</v>
      </c>
      <c r="C21" s="10" t="s">
        <v>19</v>
      </c>
      <c r="D21" s="9" t="s">
        <v>20</v>
      </c>
      <c r="E21" s="9" t="s">
        <v>21</v>
      </c>
      <c r="F21" s="9" t="s">
        <v>22</v>
      </c>
      <c r="G21" s="9" t="s">
        <v>23</v>
      </c>
    </row>
    <row r="22" spans="1:9" x14ac:dyDescent="0.25">
      <c r="A22" s="3">
        <v>45839</v>
      </c>
      <c r="B22" s="29">
        <v>1034</v>
      </c>
      <c r="C22" s="27">
        <v>14020</v>
      </c>
      <c r="D22">
        <f>IF(I22&gt;0,40722,50102)</f>
        <v>40722</v>
      </c>
      <c r="E22" t="str">
        <f>IF(I22&gt;0,"Unpaid Salary Accrual","Salary Overpayment Prepayment")</f>
        <v>Unpaid Salary Accrual</v>
      </c>
      <c r="F22">
        <f>IF(J22="IS",IF(I22&gt;0,I22,0),IF(I22&gt;0,0,ABS(I22)))</f>
        <v>0</v>
      </c>
      <c r="G22">
        <f>IF(J22="IS",IF(I22&gt;0,0,ABS(I22)),IF(I22&gt;0,ABS(I22),0))</f>
        <v>5000</v>
      </c>
      <c r="I22" s="31">
        <f>SUM(INDEX(Calcs_Original!S:V,MATCH(Journal_Original!B22&amp;"_"&amp;Journal_Original!C22,Calcs_Original!H:H,0),MATCH(TEXT(A22,"MMM/yyyy"),Calcs_Original!S$3:V$3,0)))</f>
        <v>5000</v>
      </c>
    </row>
    <row r="23" spans="1:9" x14ac:dyDescent="0.25">
      <c r="A23" s="3">
        <v>45870</v>
      </c>
      <c r="B23" s="29">
        <v>1034</v>
      </c>
      <c r="C23" s="27">
        <v>14020</v>
      </c>
      <c r="D23">
        <f t="shared" ref="D23:D29" si="4">IF(I23&gt;0,40722,50102)</f>
        <v>40722</v>
      </c>
      <c r="E23" t="str">
        <f t="shared" ref="E23:E29" si="5">IF(I23&gt;0,"Unpaid Salary Accrual","Salary Overpayment Prepayment")</f>
        <v>Unpaid Salary Accrual</v>
      </c>
      <c r="F23">
        <f t="shared" ref="F23:F29" si="6">IF(J23="IS",IF(I23&gt;0,I23,0),IF(I23&gt;0,0,ABS(I23)))</f>
        <v>0</v>
      </c>
      <c r="G23">
        <f t="shared" ref="G23:G29" si="7">IF(J23="IS",IF(I23&gt;0,0,ABS(I23)),IF(I23&gt;0,ABS(I23),0))</f>
        <v>3000</v>
      </c>
      <c r="I23" s="31">
        <f>SUM(INDEX(Calcs_Original!S:V,MATCH(Journal_Original!B23&amp;"_"&amp;Journal_Original!C23,Calcs_Original!H:H,0),MATCH(TEXT(A23,"MMM/yyyy"),Calcs_Original!S$3:V$3,0)))</f>
        <v>3000</v>
      </c>
    </row>
    <row r="24" spans="1:9" x14ac:dyDescent="0.25">
      <c r="A24" s="3">
        <v>45901</v>
      </c>
      <c r="B24" s="29">
        <v>1034</v>
      </c>
      <c r="C24" s="27">
        <v>14020</v>
      </c>
      <c r="D24">
        <f t="shared" si="4"/>
        <v>40722</v>
      </c>
      <c r="E24" t="str">
        <f t="shared" si="5"/>
        <v>Unpaid Salary Accrual</v>
      </c>
      <c r="F24">
        <f t="shared" si="6"/>
        <v>0</v>
      </c>
      <c r="G24">
        <f t="shared" si="7"/>
        <v>7000</v>
      </c>
      <c r="I24" s="31">
        <f>SUM(INDEX(Calcs_Original!S:V,MATCH(Journal_Original!B24&amp;"_"&amp;Journal_Original!C24,Calcs_Original!H:H,0),MATCH(TEXT(A24,"MMM/yyyy"),Calcs_Original!S$3:V$3,0)))</f>
        <v>7000</v>
      </c>
    </row>
    <row r="25" spans="1:9" x14ac:dyDescent="0.25">
      <c r="A25" s="3">
        <v>45931</v>
      </c>
      <c r="B25" s="29">
        <v>1034</v>
      </c>
      <c r="C25" s="27">
        <v>14020</v>
      </c>
      <c r="D25">
        <f t="shared" si="4"/>
        <v>50102</v>
      </c>
      <c r="E25" t="str">
        <f t="shared" si="5"/>
        <v>Salary Overpayment Prepayment</v>
      </c>
      <c r="F25">
        <f t="shared" si="6"/>
        <v>2000</v>
      </c>
      <c r="G25">
        <f t="shared" si="7"/>
        <v>0</v>
      </c>
      <c r="I25" s="31">
        <f>SUM(INDEX(Calcs_Original!S:V,MATCH(Journal_Original!B25&amp;"_"&amp;Journal_Original!C25,Calcs_Original!H:H,0),MATCH(TEXT(A25,"MMM/yyyy"),Calcs_Original!S$3:V$3,0)))</f>
        <v>-2000</v>
      </c>
    </row>
    <row r="26" spans="1:9" x14ac:dyDescent="0.25">
      <c r="A26" s="3">
        <v>45839</v>
      </c>
      <c r="B26" s="30">
        <v>1020</v>
      </c>
      <c r="C26" s="28">
        <v>13010</v>
      </c>
      <c r="D26">
        <f t="shared" si="4"/>
        <v>40722</v>
      </c>
      <c r="E26" t="str">
        <f t="shared" si="5"/>
        <v>Unpaid Salary Accrual</v>
      </c>
      <c r="F26">
        <f t="shared" si="6"/>
        <v>0</v>
      </c>
      <c r="G26">
        <f t="shared" si="7"/>
        <v>3000</v>
      </c>
      <c r="I26" s="31">
        <f>SUM(INDEX(Calcs_Original!S:V,MATCH(Journal_Original!B26&amp;"_"&amp;Journal_Original!C26,Calcs_Original!H:H,0),MATCH(TEXT(A26,"MMM/yyyy"),Calcs_Original!S$3:V$3,0)))</f>
        <v>3000</v>
      </c>
    </row>
    <row r="27" spans="1:9" x14ac:dyDescent="0.25">
      <c r="A27" s="3">
        <v>45870</v>
      </c>
      <c r="B27" s="30">
        <v>1020</v>
      </c>
      <c r="C27" s="28">
        <v>13010</v>
      </c>
      <c r="D27">
        <f t="shared" si="4"/>
        <v>50102</v>
      </c>
      <c r="E27" t="str">
        <f t="shared" si="5"/>
        <v>Salary Overpayment Prepayment</v>
      </c>
      <c r="F27">
        <f t="shared" si="6"/>
        <v>5000</v>
      </c>
      <c r="G27">
        <f t="shared" si="7"/>
        <v>0</v>
      </c>
      <c r="I27" s="31">
        <f>SUM(INDEX(Calcs_Original!S:V,MATCH(Journal_Original!B27&amp;"_"&amp;Journal_Original!C27,Calcs_Original!H:H,0),MATCH(TEXT(A27,"MMM/yyyy"),Calcs_Original!S$3:V$3,0)))</f>
        <v>-5000</v>
      </c>
    </row>
    <row r="28" spans="1:9" x14ac:dyDescent="0.25">
      <c r="A28" s="3">
        <v>45901</v>
      </c>
      <c r="B28" s="30">
        <v>1020</v>
      </c>
      <c r="C28" s="28">
        <v>13010</v>
      </c>
      <c r="D28">
        <f t="shared" si="4"/>
        <v>50102</v>
      </c>
      <c r="E28" t="str">
        <f t="shared" si="5"/>
        <v>Salary Overpayment Prepayment</v>
      </c>
      <c r="F28">
        <f t="shared" si="6"/>
        <v>3000</v>
      </c>
      <c r="G28">
        <f t="shared" si="7"/>
        <v>0</v>
      </c>
      <c r="I28" s="31">
        <f>SUM(INDEX(Calcs_Original!S:V,MATCH(Journal_Original!B28&amp;"_"&amp;Journal_Original!C28,Calcs_Original!H:H,0),MATCH(TEXT(A28,"MMM/yyyy"),Calcs_Original!S$3:V$3,0)))</f>
        <v>-3000</v>
      </c>
    </row>
    <row r="29" spans="1:9" x14ac:dyDescent="0.25">
      <c r="A29" s="3">
        <v>45931</v>
      </c>
      <c r="B29" s="30">
        <v>1020</v>
      </c>
      <c r="C29" s="28">
        <v>13010</v>
      </c>
      <c r="D29">
        <f t="shared" si="4"/>
        <v>50102</v>
      </c>
      <c r="E29" t="str">
        <f t="shared" si="5"/>
        <v>Salary Overpayment Prepayment</v>
      </c>
      <c r="F29">
        <f t="shared" si="6"/>
        <v>1000</v>
      </c>
      <c r="G29">
        <f t="shared" si="7"/>
        <v>0</v>
      </c>
      <c r="I29" s="31">
        <f>SUM(INDEX(Calcs_Original!S:V,MATCH(Journal_Original!B29&amp;"_"&amp;Journal_Original!C29,Calcs_Original!H:H,0),MATCH(TEXT(A29,"MMM/yyyy"),Calcs_Original!S$3:V$3,0)))</f>
        <v>-1000</v>
      </c>
    </row>
    <row r="32" spans="1:9" x14ac:dyDescent="0.25">
      <c r="A32" s="9" t="s">
        <v>52</v>
      </c>
      <c r="E32" s="39" t="s">
        <v>53</v>
      </c>
      <c r="F32" s="39">
        <f>SUM(F36:F51)</f>
        <v>29000</v>
      </c>
      <c r="G32" s="39">
        <f>SUM(G36:G51)</f>
        <v>29000</v>
      </c>
      <c r="H32" s="39" t="b">
        <f>F32=G32</f>
        <v>1</v>
      </c>
    </row>
    <row r="35" spans="1:7" x14ac:dyDescent="0.25">
      <c r="A35" s="9" t="s">
        <v>0</v>
      </c>
      <c r="B35" s="9" t="s">
        <v>18</v>
      </c>
      <c r="C35" s="10" t="s">
        <v>19</v>
      </c>
      <c r="D35" s="9" t="s">
        <v>20</v>
      </c>
      <c r="E35" s="9" t="s">
        <v>21</v>
      </c>
      <c r="F35" s="9" t="s">
        <v>22</v>
      </c>
      <c r="G35" s="9" t="s">
        <v>23</v>
      </c>
    </row>
    <row r="36" spans="1:7" x14ac:dyDescent="0.25">
      <c r="A36" s="3" t="s">
        <v>57</v>
      </c>
      <c r="B36" s="29">
        <v>1034</v>
      </c>
      <c r="C36" s="27">
        <v>14020</v>
      </c>
      <c r="D36">
        <v>30910</v>
      </c>
      <c r="E36" t="s">
        <v>24</v>
      </c>
      <c r="F36">
        <v>5000</v>
      </c>
      <c r="G36">
        <v>0</v>
      </c>
    </row>
    <row r="37" spans="1:7" x14ac:dyDescent="0.25">
      <c r="A37" s="3">
        <v>45870</v>
      </c>
      <c r="B37" s="29">
        <v>1034</v>
      </c>
      <c r="C37" s="27">
        <v>14020</v>
      </c>
      <c r="D37">
        <v>30910</v>
      </c>
      <c r="E37" t="s">
        <v>24</v>
      </c>
      <c r="F37">
        <v>3000</v>
      </c>
      <c r="G37">
        <v>0</v>
      </c>
    </row>
    <row r="38" spans="1:7" x14ac:dyDescent="0.25">
      <c r="A38" s="3">
        <v>45901</v>
      </c>
      <c r="B38" s="29">
        <v>1034</v>
      </c>
      <c r="C38" s="27">
        <v>14020</v>
      </c>
      <c r="D38">
        <v>30910</v>
      </c>
      <c r="E38" t="s">
        <v>24</v>
      </c>
      <c r="F38">
        <v>7000</v>
      </c>
      <c r="G38">
        <v>0</v>
      </c>
    </row>
    <row r="39" spans="1:7" x14ac:dyDescent="0.25">
      <c r="A39" s="3">
        <v>45931</v>
      </c>
      <c r="B39" s="29">
        <v>1034</v>
      </c>
      <c r="C39" s="27">
        <v>14020</v>
      </c>
      <c r="D39">
        <v>20100</v>
      </c>
      <c r="E39" t="s">
        <v>54</v>
      </c>
      <c r="F39">
        <v>0</v>
      </c>
      <c r="G39">
        <v>2000</v>
      </c>
    </row>
    <row r="40" spans="1:7" x14ac:dyDescent="0.25">
      <c r="A40" s="3">
        <v>45839</v>
      </c>
      <c r="B40" s="30">
        <v>1020</v>
      </c>
      <c r="C40" s="28">
        <v>13010</v>
      </c>
      <c r="D40">
        <v>30910</v>
      </c>
      <c r="E40" t="s">
        <v>24</v>
      </c>
      <c r="F40">
        <v>3000</v>
      </c>
      <c r="G40">
        <v>0</v>
      </c>
    </row>
    <row r="41" spans="1:7" x14ac:dyDescent="0.25">
      <c r="A41" s="3">
        <v>45870</v>
      </c>
      <c r="B41" s="30">
        <v>1020</v>
      </c>
      <c r="C41" s="28">
        <v>13010</v>
      </c>
      <c r="D41">
        <v>20100</v>
      </c>
      <c r="E41" t="s">
        <v>54</v>
      </c>
      <c r="F41">
        <v>0</v>
      </c>
      <c r="G41">
        <v>5000</v>
      </c>
    </row>
    <row r="42" spans="1:7" x14ac:dyDescent="0.25">
      <c r="A42" s="3">
        <v>45901</v>
      </c>
      <c r="B42" s="30">
        <v>1020</v>
      </c>
      <c r="C42" s="28">
        <v>13010</v>
      </c>
      <c r="D42">
        <v>20100</v>
      </c>
      <c r="E42" t="s">
        <v>54</v>
      </c>
      <c r="F42">
        <v>0</v>
      </c>
      <c r="G42">
        <v>3000</v>
      </c>
    </row>
    <row r="43" spans="1:7" x14ac:dyDescent="0.25">
      <c r="A43" s="3">
        <v>45931</v>
      </c>
      <c r="B43" s="30">
        <v>1020</v>
      </c>
      <c r="C43" s="28">
        <v>13010</v>
      </c>
      <c r="D43">
        <v>20100</v>
      </c>
      <c r="E43" t="s">
        <v>54</v>
      </c>
      <c r="F43">
        <v>0</v>
      </c>
      <c r="G43">
        <v>1000</v>
      </c>
    </row>
    <row r="44" spans="1:7" x14ac:dyDescent="0.25">
      <c r="A44" s="3">
        <v>45839</v>
      </c>
      <c r="B44" s="29">
        <v>1034</v>
      </c>
      <c r="C44" s="27">
        <v>14020</v>
      </c>
      <c r="D44">
        <v>40722</v>
      </c>
      <c r="E44" t="s">
        <v>55</v>
      </c>
      <c r="F44">
        <v>0</v>
      </c>
      <c r="G44">
        <v>5000</v>
      </c>
    </row>
    <row r="45" spans="1:7" x14ac:dyDescent="0.25">
      <c r="A45" s="3">
        <v>45870</v>
      </c>
      <c r="B45" s="29">
        <v>1034</v>
      </c>
      <c r="C45" s="27">
        <v>14020</v>
      </c>
      <c r="D45">
        <v>40722</v>
      </c>
      <c r="E45" t="s">
        <v>55</v>
      </c>
      <c r="F45">
        <v>0</v>
      </c>
      <c r="G45">
        <v>3000</v>
      </c>
    </row>
    <row r="46" spans="1:7" x14ac:dyDescent="0.25">
      <c r="A46" s="3">
        <v>45901</v>
      </c>
      <c r="B46" s="29">
        <v>1034</v>
      </c>
      <c r="C46" s="27">
        <v>14020</v>
      </c>
      <c r="D46">
        <v>40722</v>
      </c>
      <c r="E46" t="s">
        <v>55</v>
      </c>
      <c r="F46">
        <v>0</v>
      </c>
      <c r="G46">
        <v>7000</v>
      </c>
    </row>
    <row r="47" spans="1:7" x14ac:dyDescent="0.25">
      <c r="A47" s="3">
        <v>45931</v>
      </c>
      <c r="B47" s="29">
        <v>1034</v>
      </c>
      <c r="C47" s="27">
        <v>14020</v>
      </c>
      <c r="D47">
        <v>50102</v>
      </c>
      <c r="E47" t="s">
        <v>56</v>
      </c>
      <c r="F47">
        <v>2000</v>
      </c>
      <c r="G47">
        <v>0</v>
      </c>
    </row>
    <row r="48" spans="1:7" x14ac:dyDescent="0.25">
      <c r="A48" s="3">
        <v>45839</v>
      </c>
      <c r="B48" s="30">
        <v>1020</v>
      </c>
      <c r="C48" s="28">
        <v>13010</v>
      </c>
      <c r="D48">
        <v>40722</v>
      </c>
      <c r="E48" t="s">
        <v>55</v>
      </c>
      <c r="F48">
        <v>0</v>
      </c>
      <c r="G48">
        <v>3000</v>
      </c>
    </row>
    <row r="49" spans="1:7" x14ac:dyDescent="0.25">
      <c r="A49" s="3">
        <v>45870</v>
      </c>
      <c r="B49" s="30">
        <v>1020</v>
      </c>
      <c r="C49" s="28">
        <v>13010</v>
      </c>
      <c r="D49">
        <v>50102</v>
      </c>
      <c r="E49" t="s">
        <v>56</v>
      </c>
      <c r="F49">
        <v>5000</v>
      </c>
      <c r="G49">
        <v>0</v>
      </c>
    </row>
    <row r="50" spans="1:7" x14ac:dyDescent="0.25">
      <c r="A50" s="3">
        <v>45901</v>
      </c>
      <c r="B50" s="30">
        <v>1020</v>
      </c>
      <c r="C50" s="28">
        <v>13010</v>
      </c>
      <c r="D50">
        <v>50102</v>
      </c>
      <c r="E50" t="s">
        <v>56</v>
      </c>
      <c r="F50">
        <v>3000</v>
      </c>
      <c r="G50">
        <v>0</v>
      </c>
    </row>
    <row r="51" spans="1:7" x14ac:dyDescent="0.25">
      <c r="A51" s="3">
        <v>45931</v>
      </c>
      <c r="B51" s="30">
        <v>1020</v>
      </c>
      <c r="C51" s="28">
        <v>13010</v>
      </c>
      <c r="D51">
        <v>50102</v>
      </c>
      <c r="E51" t="s">
        <v>56</v>
      </c>
      <c r="F51">
        <v>1000</v>
      </c>
      <c r="G51">
        <v>0</v>
      </c>
    </row>
    <row r="56" spans="1:7" x14ac:dyDescent="0.25">
      <c r="A56" s="40"/>
    </row>
    <row r="57" spans="1:7" x14ac:dyDescent="0.25">
      <c r="A57" s="40"/>
    </row>
    <row r="58" spans="1:7" x14ac:dyDescent="0.25">
      <c r="A58" s="40"/>
    </row>
    <row r="59" spans="1:7" x14ac:dyDescent="0.25">
      <c r="A59" s="40"/>
    </row>
    <row r="60" spans="1:7" x14ac:dyDescent="0.25">
      <c r="A60" s="40"/>
    </row>
    <row r="61" spans="1:7" x14ac:dyDescent="0.25">
      <c r="A61" s="40"/>
    </row>
    <row r="62" spans="1:7" x14ac:dyDescent="0.25">
      <c r="A62" s="40"/>
    </row>
    <row r="63" spans="1:7" x14ac:dyDescent="0.25">
      <c r="A63" s="40"/>
    </row>
    <row r="64" spans="1:7" x14ac:dyDescent="0.25">
      <c r="A64" s="40"/>
    </row>
    <row r="65" spans="1:1" x14ac:dyDescent="0.25">
      <c r="A65" s="40"/>
    </row>
    <row r="66" spans="1:1" x14ac:dyDescent="0.25">
      <c r="A66" s="40"/>
    </row>
    <row r="67" spans="1:1" x14ac:dyDescent="0.25">
      <c r="A67" s="40"/>
    </row>
    <row r="68" spans="1:1" x14ac:dyDescent="0.25">
      <c r="A68" s="40"/>
    </row>
    <row r="69" spans="1:1" x14ac:dyDescent="0.25">
      <c r="A69" s="40"/>
    </row>
    <row r="70" spans="1:1" x14ac:dyDescent="0.25">
      <c r="A70" s="40"/>
    </row>
    <row r="71" spans="1:1" x14ac:dyDescent="0.25">
      <c r="A71" s="40"/>
    </row>
    <row r="72" spans="1:1" x14ac:dyDescent="0.25">
      <c r="A72" s="40"/>
    </row>
    <row r="73" spans="1:1" x14ac:dyDescent="0.25">
      <c r="A73" s="40"/>
    </row>
    <row r="74" spans="1:1" x14ac:dyDescent="0.25">
      <c r="A74" s="40"/>
    </row>
    <row r="75" spans="1:1" x14ac:dyDescent="0.25">
      <c r="A75" s="40"/>
    </row>
    <row r="76" spans="1:1" x14ac:dyDescent="0.25">
      <c r="A76" s="40"/>
    </row>
    <row r="77" spans="1:1" x14ac:dyDescent="0.25">
      <c r="A77" s="40"/>
    </row>
    <row r="78" spans="1:1" x14ac:dyDescent="0.25">
      <c r="A78" s="40"/>
    </row>
    <row r="79" spans="1:1" x14ac:dyDescent="0.25">
      <c r="A79" s="40"/>
    </row>
    <row r="80" spans="1:1" x14ac:dyDescent="0.25">
      <c r="A80" s="40"/>
    </row>
    <row r="81" spans="1:1" x14ac:dyDescent="0.25">
      <c r="A81" s="40"/>
    </row>
    <row r="82" spans="1:1" x14ac:dyDescent="0.25">
      <c r="A82" s="40"/>
    </row>
    <row r="83" spans="1:1" x14ac:dyDescent="0.25">
      <c r="A83" s="40"/>
    </row>
    <row r="84" spans="1:1" x14ac:dyDescent="0.25">
      <c r="A84" s="40"/>
    </row>
    <row r="85" spans="1:1" x14ac:dyDescent="0.25">
      <c r="A85" s="40"/>
    </row>
    <row r="86" spans="1:1" x14ac:dyDescent="0.25">
      <c r="A86" s="40"/>
    </row>
    <row r="87" spans="1:1" x14ac:dyDescent="0.25">
      <c r="A87" s="40"/>
    </row>
    <row r="88" spans="1:1" x14ac:dyDescent="0.25">
      <c r="A88" s="40"/>
    </row>
    <row r="89" spans="1:1" x14ac:dyDescent="0.25">
      <c r="A89" s="40"/>
    </row>
    <row r="90" spans="1:1" x14ac:dyDescent="0.25">
      <c r="A90" s="40"/>
    </row>
    <row r="91" spans="1:1" x14ac:dyDescent="0.25">
      <c r="A91" s="40"/>
    </row>
    <row r="92" spans="1:1" x14ac:dyDescent="0.25">
      <c r="A92" s="40"/>
    </row>
    <row r="93" spans="1:1" x14ac:dyDescent="0.25">
      <c r="A93" s="40"/>
    </row>
  </sheetData>
  <phoneticPr fontId="3"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03C83-7A2D-4DDB-A2DE-B11FD1648F15}">
  <dimension ref="A1:H27"/>
  <sheetViews>
    <sheetView topLeftCell="A6" zoomScale="70" zoomScaleNormal="70" workbookViewId="0">
      <selection activeCell="E26" sqref="E26"/>
    </sheetView>
  </sheetViews>
  <sheetFormatPr defaultRowHeight="15.75" x14ac:dyDescent="0.25"/>
  <cols>
    <col min="1" max="8" width="15" customWidth="1"/>
  </cols>
  <sheetData>
    <row r="1" spans="1:8" ht="18.75" x14ac:dyDescent="0.3">
      <c r="A1" s="54" t="s">
        <v>255</v>
      </c>
    </row>
    <row r="2" spans="1:8" x14ac:dyDescent="0.25">
      <c r="A2" s="55" t="s">
        <v>256</v>
      </c>
    </row>
    <row r="4" spans="1:8" x14ac:dyDescent="0.25">
      <c r="A4" s="41" t="s">
        <v>257</v>
      </c>
    </row>
    <row r="5" spans="1:8" x14ac:dyDescent="0.25">
      <c r="A5" s="42" t="s">
        <v>35</v>
      </c>
      <c r="B5" s="42" t="s">
        <v>36</v>
      </c>
      <c r="C5" s="42" t="s">
        <v>34</v>
      </c>
      <c r="D5" s="42" t="s">
        <v>27</v>
      </c>
      <c r="E5" s="42" t="s">
        <v>29</v>
      </c>
      <c r="F5" s="42" t="s">
        <v>19</v>
      </c>
      <c r="H5" s="42" t="s">
        <v>48</v>
      </c>
    </row>
    <row r="6" spans="1:8" x14ac:dyDescent="0.25">
      <c r="A6" t="str" cm="1">
        <f t="array" ref="A6:A7">tblStaffList[First Name]</f>
        <v>John</v>
      </c>
      <c r="B6" t="str" cm="1">
        <f t="array" ref="B6:B7">tblStaffList[Surname]</f>
        <v>Smith</v>
      </c>
      <c r="C6" cm="1">
        <f t="array" ref="C6:C7">tblStaffList[Personnel No]</f>
        <v>45556</v>
      </c>
      <c r="D6" t="str" cm="1">
        <f t="array" ref="D6:D7">tblStaffList[Role]</f>
        <v>Financial Controller</v>
      </c>
      <c r="E6" cm="1">
        <f t="array" ref="E6:E7">tblStaffList[Company Code]</f>
        <v>1034</v>
      </c>
      <c r="F6" cm="1">
        <f t="array" ref="F6:F7">tblStaffList[Cost Centre]</f>
        <v>14020</v>
      </c>
      <c r="H6" t="str" cm="1">
        <f t="array" ref="H6:H7">tblStaffList[Company Code]&amp;"_"&amp;tblStaffList[Cost Centre]</f>
        <v>1034_14020</v>
      </c>
    </row>
    <row r="7" spans="1:8" x14ac:dyDescent="0.25">
      <c r="A7" t="str">
        <v>Jane</v>
      </c>
      <c r="B7" t="str">
        <v>Meadows</v>
      </c>
      <c r="C7">
        <v>78543</v>
      </c>
      <c r="D7" t="str">
        <v>Financial Analyst</v>
      </c>
      <c r="E7">
        <v>1020</v>
      </c>
      <c r="F7">
        <v>13010</v>
      </c>
      <c r="H7" t="str">
        <v>1020_13010</v>
      </c>
    </row>
    <row r="10" spans="1:8" x14ac:dyDescent="0.25">
      <c r="A10" s="41" t="s">
        <v>258</v>
      </c>
    </row>
    <row r="11" spans="1:8" x14ac:dyDescent="0.25">
      <c r="A11" s="42" t="s">
        <v>27</v>
      </c>
      <c r="B11" s="56" cm="1">
        <f t="array" ref="B11:E11">TRANSPOSE(_xlfn._xlws.SORT(_xlfn.UNIQUE(_xlfn._xlws.FILTER(tblGeneralLedger[Period],tblGeneralLedger[Period]&lt;&gt;""))))</f>
        <v>45839</v>
      </c>
      <c r="C11">
        <v>45870</v>
      </c>
      <c r="D11">
        <v>45901</v>
      </c>
      <c r="E11">
        <v>45931</v>
      </c>
    </row>
    <row r="12" spans="1:8" x14ac:dyDescent="0.25">
      <c r="A12" t="str" cm="1">
        <f t="array" ref="A12:A13">tblStaffList[Role]</f>
        <v>Financial Controller</v>
      </c>
      <c r="B12" s="57" cm="1">
        <f t="array" ref="B12:E13">_xlfn.MAKEARRAY(ROWS(_xlfn.ANCHORARRAY(A12)),COLUMNS(_xlfn.ANCHORARRAY(B11)),_xlfn.LAMBDA(_xlpm.r,_xlpm.c,SUMIFS(tblGeneralLedger[Amount],tblGeneralLedger[Period],INDEX(_xlfn.ANCHORARRAY(B11),1,_xlpm.c),tblGeneralLedger[Description],"Salary for "&amp;INDEX(_xlfn.ANCHORARRAY(A12),_xlpm.r,1)&amp;"*")))</f>
        <v>10000</v>
      </c>
      <c r="C12">
        <v>10000</v>
      </c>
      <c r="D12">
        <v>10000</v>
      </c>
      <c r="E12">
        <v>10000</v>
      </c>
    </row>
    <row r="13" spans="1:8" x14ac:dyDescent="0.25">
      <c r="A13" t="str">
        <v>Financial Analyst</v>
      </c>
      <c r="B13">
        <v>5000</v>
      </c>
      <c r="C13">
        <v>5000</v>
      </c>
      <c r="D13">
        <v>5000</v>
      </c>
      <c r="E13">
        <v>5000</v>
      </c>
    </row>
    <row r="17" spans="1:5" x14ac:dyDescent="0.25">
      <c r="A17" s="41" t="s">
        <v>259</v>
      </c>
    </row>
    <row r="18" spans="1:5" x14ac:dyDescent="0.25">
      <c r="A18" s="42" t="s">
        <v>260</v>
      </c>
      <c r="B18" s="56" cm="1">
        <f t="array" ref="B18:E18">_xlfn.ANCHORARRAY(B11)</f>
        <v>45839</v>
      </c>
      <c r="C18">
        <v>45870</v>
      </c>
      <c r="D18">
        <v>45901</v>
      </c>
      <c r="E18">
        <v>45931</v>
      </c>
    </row>
    <row r="19" spans="1:5" x14ac:dyDescent="0.25">
      <c r="A19" t="str" cm="1">
        <f t="array" ref="A19:A20">tblStaffList[First Name]&amp;" "&amp;tblStaffList[Surname]</f>
        <v>John Smith</v>
      </c>
      <c r="B19" s="57" cm="1">
        <f t="array" ref="B19:E20">_xlfn.MAKEARRAY(ROWS(_xlfn.ANCHORARRAY(A19)),COLUMNS(_xlfn.ANCHORARRAY(B18)),_xlfn.LAMBDA(_xlpm.r,_xlpm.c,SUMIFS(tblBankStatement[Bank account amt],tblBankStatement[Period],TEXT(INDEX(_xlfn.ANCHORARRAY(B18),1,_xlpm.c),"mmm/yyyy"),tblBankStatement[Text],"Salary Payment-"&amp;INDEX(_xlfn.ANCHORARRAY(A19),_xlpm.r,1))))</f>
        <v>5000</v>
      </c>
      <c r="C19">
        <v>7000</v>
      </c>
      <c r="D19">
        <v>3000</v>
      </c>
      <c r="E19">
        <v>12000</v>
      </c>
    </row>
    <row r="20" spans="1:5" x14ac:dyDescent="0.25">
      <c r="A20" t="str">
        <v>Jane Meadows</v>
      </c>
      <c r="B20">
        <v>2000</v>
      </c>
      <c r="C20">
        <v>10000</v>
      </c>
      <c r="D20">
        <v>8000</v>
      </c>
      <c r="E20">
        <v>6000</v>
      </c>
    </row>
    <row r="24" spans="1:5" x14ac:dyDescent="0.25">
      <c r="A24" s="41" t="s">
        <v>261</v>
      </c>
    </row>
    <row r="25" spans="1:5" x14ac:dyDescent="0.25">
      <c r="A25" s="42" t="s">
        <v>48</v>
      </c>
      <c r="B25" s="56" cm="1">
        <f t="array" ref="B25:E25">_xlfn.ANCHORARRAY(B11)</f>
        <v>45839</v>
      </c>
      <c r="C25">
        <v>45870</v>
      </c>
      <c r="D25">
        <v>45901</v>
      </c>
      <c r="E25">
        <v>45931</v>
      </c>
    </row>
    <row r="26" spans="1:5" x14ac:dyDescent="0.25">
      <c r="A26" t="str" cm="1">
        <f t="array" ref="A26:A27">_xlfn.ANCHORARRAY(H6)</f>
        <v>1034_14020</v>
      </c>
      <c r="B26" s="57" cm="1">
        <f t="array" ref="B26:E27">_xlfn.ANCHORARRAY(B12)-_xlfn.ANCHORARRAY(B19)</f>
        <v>5000</v>
      </c>
      <c r="C26">
        <v>3000</v>
      </c>
      <c r="D26">
        <v>7000</v>
      </c>
      <c r="E26">
        <v>-2000</v>
      </c>
    </row>
    <row r="27" spans="1:5" x14ac:dyDescent="0.25">
      <c r="A27" t="str">
        <v>1020_13010</v>
      </c>
      <c r="B27">
        <v>3000</v>
      </c>
      <c r="C27">
        <v>-5000</v>
      </c>
      <c r="D27">
        <v>-3000</v>
      </c>
      <c r="E27">
        <v>-1000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09A1A-0488-4A5C-A520-EAC7D2990747}">
  <dimension ref="A1:I200"/>
  <sheetViews>
    <sheetView topLeftCell="A93" zoomScale="70" zoomScaleNormal="70" workbookViewId="0">
      <selection activeCell="G97" sqref="G97"/>
    </sheetView>
  </sheetViews>
  <sheetFormatPr defaultRowHeight="15.75" x14ac:dyDescent="0.25"/>
  <cols>
    <col min="1" max="1" width="13.375" customWidth="1"/>
    <col min="2" max="3" width="12.5" customWidth="1"/>
    <col min="4" max="4" width="11.625" customWidth="1"/>
    <col min="5" max="5" width="33.375" customWidth="1"/>
    <col min="6" max="7" width="15" customWidth="1"/>
    <col min="8" max="8" width="11.625" customWidth="1"/>
    <col min="9" max="9" width="15" customWidth="1"/>
  </cols>
  <sheetData>
    <row r="1" spans="1:9" ht="18.75" x14ac:dyDescent="0.3">
      <c r="A1" s="54" t="s">
        <v>262</v>
      </c>
    </row>
    <row r="2" spans="1:9" x14ac:dyDescent="0.25">
      <c r="A2" s="55" t="s">
        <v>263</v>
      </c>
    </row>
    <row r="4" spans="1:9" x14ac:dyDescent="0.25">
      <c r="A4" s="43" t="s">
        <v>50</v>
      </c>
    </row>
    <row r="6" spans="1:9" x14ac:dyDescent="0.25">
      <c r="A6" s="42" t="s">
        <v>0</v>
      </c>
      <c r="B6" s="42" t="s">
        <v>18</v>
      </c>
      <c r="C6" s="42" t="s">
        <v>19</v>
      </c>
      <c r="D6" s="42" t="s">
        <v>20</v>
      </c>
      <c r="E6" s="42" t="s">
        <v>21</v>
      </c>
      <c r="F6" s="42" t="s">
        <v>22</v>
      </c>
      <c r="G6" s="42" t="s">
        <v>23</v>
      </c>
      <c r="I6" s="58" t="s">
        <v>47</v>
      </c>
    </row>
    <row r="7" spans="1:9" x14ac:dyDescent="0.25">
      <c r="A7" s="59" cm="1">
        <f t="array" ref="A7:A14">_xlfn.LET(_xlpm.p,_xlfn.ANCHORARRAY(Calcs!B11),_xlpm.combos,_xlfn.UNIQUE(tblStaffList[[Company Code]:[Cost Centre]]),_xlpm.np,COLUMNS(_xlpm.p),_xlpm.nc,ROWS(_xlpm.combos),_xlpm.idx,_xlfn.SEQUENCE(_xlpm.np*_xlpm.nc),_xlpm.cIdx,INT((_xlpm.idx-1)/_xlpm.np)+1,_xlpm.pIdx,MOD(_xlpm.idx-1,_xlpm.np)+1,INDEX(_xlpm.p,1,_xlpm.pIdx))</f>
        <v>45839</v>
      </c>
      <c r="B7" cm="1">
        <f t="array" ref="B7:B14">_xlfn.LET(_xlpm.combos,_xlfn.UNIQUE(tblStaffList[[Company Code]:[Cost Centre]]),_xlpm.np,COLUMNS(_xlfn.ANCHORARRAY(Calcs!B11)),_xlpm.nc,ROWS(_xlpm.combos),_xlpm.idx,_xlfn.SEQUENCE(_xlpm.np*_xlpm.nc),_xlpm.cIdx,INT((_xlpm.idx-1)/_xlpm.np)+1,INDEX(_xlpm.combos,_xlpm.cIdx,1))</f>
        <v>1034</v>
      </c>
      <c r="C7" cm="1">
        <f t="array" ref="C7:C14">_xlfn.LET(_xlpm.combos,_xlfn.UNIQUE(tblStaffList[[Company Code]:[Cost Centre]]),_xlpm.np,COLUMNS(_xlfn.ANCHORARRAY(Calcs!B11)),_xlpm.nc,ROWS(_xlpm.combos),_xlpm.idx,_xlfn.SEQUENCE(_xlpm.np*_xlpm.nc),_xlpm.cIdx,INT((_xlpm.idx-1)/_xlpm.np)+1,INDEX(_xlpm.combos,_xlpm.cIdx,2))</f>
        <v>14020</v>
      </c>
      <c r="D7" cm="1">
        <f t="array" ref="D7:D14">IF(_xlfn.ANCHORARRAY(I7)&gt;0,30910,20100)</f>
        <v>30910</v>
      </c>
      <c r="E7" t="str" cm="1">
        <f t="array" ref="E7:E14">IF(_xlfn.ANCHORARRAY(I7)&gt;0,"Accrued Salary Cost","Salary Overpayment Credit")</f>
        <v>Accrued Salary Cost</v>
      </c>
      <c r="F7" s="57" cm="1">
        <f t="array" ref="F7:F14">IF(_xlfn.ANCHORARRAY(I7)&gt;0,_xlfn.ANCHORARRAY(I7),0)</f>
        <v>5000</v>
      </c>
      <c r="G7" s="57" cm="1">
        <f t="array" ref="G7:G14">IF(_xlfn.ANCHORARRAY(I7)&gt;0,0,ABS(_xlfn.ANCHORARRAY(I7)))</f>
        <v>0</v>
      </c>
      <c r="I7" s="60" cm="1">
        <f t="array" ref="I7:I14">_xlfn.MAP(_xlfn.ANCHORARRAY(A7),_xlfn.ANCHORARRAY(B7),_xlfn.ANCHORARRAY(C7),_xlfn.LAMBDA(_xlpm.p,_xlpm.co,_xlpm.cc,INDEX(_xlfn.ANCHORARRAY(Calcs!B26),MATCH(_xlpm.co&amp;"_"&amp;_xlpm.cc,_xlfn.ANCHORARRAY(Calcs!A26),0),MATCH(_xlpm.p,_xlfn.ANCHORARRAY(Calcs!B25),0))))</f>
        <v>5000</v>
      </c>
    </row>
    <row r="8" spans="1:9" x14ac:dyDescent="0.25">
      <c r="A8" s="59">
        <v>45870</v>
      </c>
      <c r="B8">
        <v>1034</v>
      </c>
      <c r="C8">
        <v>14020</v>
      </c>
      <c r="D8">
        <v>30910</v>
      </c>
      <c r="E8" t="str">
        <v>Accrued Salary Cost</v>
      </c>
      <c r="F8">
        <v>3000</v>
      </c>
      <c r="G8">
        <v>0</v>
      </c>
      <c r="I8">
        <v>3000</v>
      </c>
    </row>
    <row r="9" spans="1:9" x14ac:dyDescent="0.25">
      <c r="A9" s="59">
        <v>45901</v>
      </c>
      <c r="B9">
        <v>1034</v>
      </c>
      <c r="C9">
        <v>14020</v>
      </c>
      <c r="D9">
        <v>30910</v>
      </c>
      <c r="E9" t="str">
        <v>Accrued Salary Cost</v>
      </c>
      <c r="F9">
        <v>7000</v>
      </c>
      <c r="G9">
        <v>0</v>
      </c>
      <c r="I9">
        <v>7000</v>
      </c>
    </row>
    <row r="10" spans="1:9" x14ac:dyDescent="0.25">
      <c r="A10" s="59">
        <v>45931</v>
      </c>
      <c r="B10">
        <v>1034</v>
      </c>
      <c r="C10">
        <v>14020</v>
      </c>
      <c r="D10">
        <v>20100</v>
      </c>
      <c r="E10" t="str">
        <v>Salary Overpayment Credit</v>
      </c>
      <c r="F10">
        <v>0</v>
      </c>
      <c r="G10">
        <v>2000</v>
      </c>
      <c r="I10">
        <v>-2000</v>
      </c>
    </row>
    <row r="11" spans="1:9" x14ac:dyDescent="0.25">
      <c r="A11" s="59">
        <v>45839</v>
      </c>
      <c r="B11">
        <v>1020</v>
      </c>
      <c r="C11">
        <v>13010</v>
      </c>
      <c r="D11">
        <v>30910</v>
      </c>
      <c r="E11" t="str">
        <v>Accrued Salary Cost</v>
      </c>
      <c r="F11">
        <v>3000</v>
      </c>
      <c r="G11">
        <v>0</v>
      </c>
      <c r="I11">
        <v>3000</v>
      </c>
    </row>
    <row r="12" spans="1:9" x14ac:dyDescent="0.25">
      <c r="A12" s="59">
        <v>45870</v>
      </c>
      <c r="B12">
        <v>1020</v>
      </c>
      <c r="C12">
        <v>13010</v>
      </c>
      <c r="D12">
        <v>20100</v>
      </c>
      <c r="E12" t="str">
        <v>Salary Overpayment Credit</v>
      </c>
      <c r="F12">
        <v>0</v>
      </c>
      <c r="G12">
        <v>5000</v>
      </c>
      <c r="I12">
        <v>-5000</v>
      </c>
    </row>
    <row r="13" spans="1:9" x14ac:dyDescent="0.25">
      <c r="A13" s="59">
        <v>45901</v>
      </c>
      <c r="B13">
        <v>1020</v>
      </c>
      <c r="C13">
        <v>13010</v>
      </c>
      <c r="D13">
        <v>20100</v>
      </c>
      <c r="E13" t="str">
        <v>Salary Overpayment Credit</v>
      </c>
      <c r="F13">
        <v>0</v>
      </c>
      <c r="G13">
        <v>3000</v>
      </c>
      <c r="I13">
        <v>-3000</v>
      </c>
    </row>
    <row r="14" spans="1:9" x14ac:dyDescent="0.25">
      <c r="A14" s="59">
        <v>45931</v>
      </c>
      <c r="B14">
        <v>1020</v>
      </c>
      <c r="C14">
        <v>13010</v>
      </c>
      <c r="D14">
        <v>20100</v>
      </c>
      <c r="E14" t="str">
        <v>Salary Overpayment Credit</v>
      </c>
      <c r="F14">
        <v>0</v>
      </c>
      <c r="G14">
        <v>1000</v>
      </c>
      <c r="I14">
        <v>-1000</v>
      </c>
    </row>
    <row r="15" spans="1:9" x14ac:dyDescent="0.25">
      <c r="A15" s="59"/>
    </row>
    <row r="16" spans="1:9" x14ac:dyDescent="0.25">
      <c r="A16" s="59"/>
    </row>
    <row r="17" spans="1:1" x14ac:dyDescent="0.25">
      <c r="A17" s="59"/>
    </row>
    <row r="18" spans="1:1" x14ac:dyDescent="0.25">
      <c r="A18" s="59"/>
    </row>
    <row r="19" spans="1:1" x14ac:dyDescent="0.25">
      <c r="A19" s="59"/>
    </row>
    <row r="20" spans="1:1" x14ac:dyDescent="0.25">
      <c r="A20" s="59"/>
    </row>
    <row r="21" spans="1:1" x14ac:dyDescent="0.25">
      <c r="A21" s="59"/>
    </row>
    <row r="22" spans="1:1" x14ac:dyDescent="0.25">
      <c r="A22" s="59"/>
    </row>
    <row r="23" spans="1:1" x14ac:dyDescent="0.25">
      <c r="A23" s="59"/>
    </row>
    <row r="24" spans="1:1" x14ac:dyDescent="0.25">
      <c r="A24" s="59"/>
    </row>
    <row r="25" spans="1:1" x14ac:dyDescent="0.25">
      <c r="A25" s="59"/>
    </row>
    <row r="26" spans="1:1" x14ac:dyDescent="0.25">
      <c r="A26" s="59"/>
    </row>
    <row r="27" spans="1:1" x14ac:dyDescent="0.25">
      <c r="A27" s="59"/>
    </row>
    <row r="28" spans="1:1" x14ac:dyDescent="0.25">
      <c r="A28" s="59"/>
    </row>
    <row r="29" spans="1:1" x14ac:dyDescent="0.25">
      <c r="A29" s="59"/>
    </row>
    <row r="30" spans="1:1" x14ac:dyDescent="0.25">
      <c r="A30" s="59"/>
    </row>
    <row r="31" spans="1:1" x14ac:dyDescent="0.25">
      <c r="A31" s="59"/>
    </row>
    <row r="32" spans="1:1" x14ac:dyDescent="0.25">
      <c r="A32" s="59"/>
    </row>
    <row r="33" spans="1:1" x14ac:dyDescent="0.25">
      <c r="A33" s="59"/>
    </row>
    <row r="34" spans="1:1" x14ac:dyDescent="0.25">
      <c r="A34" s="59"/>
    </row>
    <row r="35" spans="1:1" x14ac:dyDescent="0.25">
      <c r="A35" s="59"/>
    </row>
    <row r="36" spans="1:1" x14ac:dyDescent="0.25">
      <c r="A36" s="59"/>
    </row>
    <row r="37" spans="1:1" x14ac:dyDescent="0.25">
      <c r="A37" s="59"/>
    </row>
    <row r="38" spans="1:1" x14ac:dyDescent="0.25">
      <c r="A38" s="59"/>
    </row>
    <row r="39" spans="1:1" x14ac:dyDescent="0.25">
      <c r="A39" s="59"/>
    </row>
    <row r="40" spans="1:1" x14ac:dyDescent="0.25">
      <c r="A40" s="59"/>
    </row>
    <row r="41" spans="1:1" x14ac:dyDescent="0.25">
      <c r="A41" s="59"/>
    </row>
    <row r="42" spans="1:1" x14ac:dyDescent="0.25">
      <c r="A42" s="59"/>
    </row>
    <row r="43" spans="1:1" x14ac:dyDescent="0.25">
      <c r="A43" s="59"/>
    </row>
    <row r="44" spans="1:1" x14ac:dyDescent="0.25">
      <c r="A44" s="59"/>
    </row>
    <row r="45" spans="1:1" x14ac:dyDescent="0.25">
      <c r="A45" s="59"/>
    </row>
    <row r="46" spans="1:1" x14ac:dyDescent="0.25">
      <c r="A46" s="59"/>
    </row>
    <row r="47" spans="1:1" x14ac:dyDescent="0.25">
      <c r="A47" s="59"/>
    </row>
    <row r="48" spans="1:1" x14ac:dyDescent="0.25">
      <c r="A48" s="61" t="s">
        <v>51</v>
      </c>
    </row>
    <row r="49" spans="1:9" x14ac:dyDescent="0.25">
      <c r="A49" s="59"/>
    </row>
    <row r="50" spans="1:9" x14ac:dyDescent="0.25">
      <c r="A50" s="62" t="s">
        <v>0</v>
      </c>
      <c r="B50" s="42" t="s">
        <v>18</v>
      </c>
      <c r="C50" s="42" t="s">
        <v>19</v>
      </c>
      <c r="D50" s="42" t="s">
        <v>20</v>
      </c>
      <c r="E50" s="42" t="s">
        <v>21</v>
      </c>
      <c r="F50" s="42" t="s">
        <v>22</v>
      </c>
      <c r="G50" s="42" t="s">
        <v>23</v>
      </c>
      <c r="I50" s="58" t="s">
        <v>47</v>
      </c>
    </row>
    <row r="51" spans="1:9" x14ac:dyDescent="0.25">
      <c r="A51" s="59" cm="1">
        <f t="array" ref="A51:A58">_xlfn.ANCHORARRAY(A7)</f>
        <v>45839</v>
      </c>
      <c r="B51" cm="1">
        <f t="array" ref="B51:B58">_xlfn.ANCHORARRAY(B7)</f>
        <v>1034</v>
      </c>
      <c r="C51" cm="1">
        <f t="array" ref="C51:C58">_xlfn.ANCHORARRAY(C7)</f>
        <v>14020</v>
      </c>
      <c r="D51" cm="1">
        <f t="array" ref="D51:D58">IF(_xlfn.ANCHORARRAY(I51)&gt;0,40722,50102)</f>
        <v>40722</v>
      </c>
      <c r="E51" t="str" cm="1">
        <f t="array" ref="E51:E58">IF(_xlfn.ANCHORARRAY(I51)&gt;0,"Unpaid Salary Accrual","Salary Overpayment Prepayment")</f>
        <v>Unpaid Salary Accrual</v>
      </c>
      <c r="F51" s="57" cm="1">
        <f t="array" ref="F51:F58">IF(_xlfn.ANCHORARRAY(I51)&gt;0,0,ABS(_xlfn.ANCHORARRAY(I51)))</f>
        <v>0</v>
      </c>
      <c r="G51" s="57" cm="1">
        <f t="array" ref="G51:G58">IF(_xlfn.ANCHORARRAY(I51)&gt;0,_xlfn.ANCHORARRAY(I51),0)</f>
        <v>5000</v>
      </c>
      <c r="I51" s="60" cm="1">
        <f t="array" ref="I51:I58">_xlfn.ANCHORARRAY(I7)</f>
        <v>5000</v>
      </c>
    </row>
    <row r="52" spans="1:9" x14ac:dyDescent="0.25">
      <c r="A52" s="59">
        <v>45870</v>
      </c>
      <c r="B52">
        <v>1034</v>
      </c>
      <c r="C52">
        <v>14020</v>
      </c>
      <c r="D52">
        <v>40722</v>
      </c>
      <c r="E52" t="str">
        <v>Unpaid Salary Accrual</v>
      </c>
      <c r="F52">
        <v>0</v>
      </c>
      <c r="G52">
        <v>3000</v>
      </c>
      <c r="I52">
        <v>3000</v>
      </c>
    </row>
    <row r="53" spans="1:9" x14ac:dyDescent="0.25">
      <c r="A53" s="59">
        <v>45901</v>
      </c>
      <c r="B53">
        <v>1034</v>
      </c>
      <c r="C53">
        <v>14020</v>
      </c>
      <c r="D53">
        <v>40722</v>
      </c>
      <c r="E53" t="str">
        <v>Unpaid Salary Accrual</v>
      </c>
      <c r="F53">
        <v>0</v>
      </c>
      <c r="G53">
        <v>7000</v>
      </c>
      <c r="I53">
        <v>7000</v>
      </c>
    </row>
    <row r="54" spans="1:9" x14ac:dyDescent="0.25">
      <c r="A54" s="59">
        <v>45931</v>
      </c>
      <c r="B54">
        <v>1034</v>
      </c>
      <c r="C54">
        <v>14020</v>
      </c>
      <c r="D54">
        <v>50102</v>
      </c>
      <c r="E54" t="str">
        <v>Salary Overpayment Prepayment</v>
      </c>
      <c r="F54">
        <v>2000</v>
      </c>
      <c r="G54">
        <v>0</v>
      </c>
      <c r="I54">
        <v>-2000</v>
      </c>
    </row>
    <row r="55" spans="1:9" x14ac:dyDescent="0.25">
      <c r="A55" s="59">
        <v>45839</v>
      </c>
      <c r="B55">
        <v>1020</v>
      </c>
      <c r="C55">
        <v>13010</v>
      </c>
      <c r="D55">
        <v>40722</v>
      </c>
      <c r="E55" t="str">
        <v>Unpaid Salary Accrual</v>
      </c>
      <c r="F55">
        <v>0</v>
      </c>
      <c r="G55">
        <v>3000</v>
      </c>
      <c r="I55">
        <v>3000</v>
      </c>
    </row>
    <row r="56" spans="1:9" x14ac:dyDescent="0.25">
      <c r="A56" s="59">
        <v>45870</v>
      </c>
      <c r="B56">
        <v>1020</v>
      </c>
      <c r="C56">
        <v>13010</v>
      </c>
      <c r="D56">
        <v>50102</v>
      </c>
      <c r="E56" t="str">
        <v>Salary Overpayment Prepayment</v>
      </c>
      <c r="F56">
        <v>5000</v>
      </c>
      <c r="G56">
        <v>0</v>
      </c>
      <c r="I56">
        <v>-5000</v>
      </c>
    </row>
    <row r="57" spans="1:9" x14ac:dyDescent="0.25">
      <c r="A57" s="59">
        <v>45901</v>
      </c>
      <c r="B57">
        <v>1020</v>
      </c>
      <c r="C57">
        <v>13010</v>
      </c>
      <c r="D57">
        <v>50102</v>
      </c>
      <c r="E57" t="str">
        <v>Salary Overpayment Prepayment</v>
      </c>
      <c r="F57">
        <v>3000</v>
      </c>
      <c r="G57">
        <v>0</v>
      </c>
      <c r="I57">
        <v>-3000</v>
      </c>
    </row>
    <row r="58" spans="1:9" x14ac:dyDescent="0.25">
      <c r="A58" s="59">
        <v>45931</v>
      </c>
      <c r="B58">
        <v>1020</v>
      </c>
      <c r="C58">
        <v>13010</v>
      </c>
      <c r="D58">
        <v>50102</v>
      </c>
      <c r="E58" t="str">
        <v>Salary Overpayment Prepayment</v>
      </c>
      <c r="F58">
        <v>1000</v>
      </c>
      <c r="G58">
        <v>0</v>
      </c>
      <c r="I58">
        <v>-1000</v>
      </c>
    </row>
    <row r="59" spans="1:9" x14ac:dyDescent="0.25">
      <c r="A59" s="59"/>
    </row>
    <row r="60" spans="1:9" x14ac:dyDescent="0.25">
      <c r="A60" s="59"/>
    </row>
    <row r="61" spans="1:9" x14ac:dyDescent="0.25">
      <c r="A61" s="59"/>
    </row>
    <row r="62" spans="1:9" x14ac:dyDescent="0.25">
      <c r="A62" s="59"/>
    </row>
    <row r="63" spans="1:9" x14ac:dyDescent="0.25">
      <c r="A63" s="59"/>
    </row>
    <row r="64" spans="1:9" x14ac:dyDescent="0.25">
      <c r="A64" s="59"/>
    </row>
    <row r="65" spans="1:1" x14ac:dyDescent="0.25">
      <c r="A65" s="59"/>
    </row>
    <row r="66" spans="1:1" x14ac:dyDescent="0.25">
      <c r="A66" s="59"/>
    </row>
    <row r="67" spans="1:1" x14ac:dyDescent="0.25">
      <c r="A67" s="59"/>
    </row>
    <row r="68" spans="1:1" x14ac:dyDescent="0.25">
      <c r="A68" s="59"/>
    </row>
    <row r="69" spans="1:1" x14ac:dyDescent="0.25">
      <c r="A69" s="59"/>
    </row>
    <row r="70" spans="1:1" x14ac:dyDescent="0.25">
      <c r="A70" s="59"/>
    </row>
    <row r="71" spans="1:1" x14ac:dyDescent="0.25">
      <c r="A71" s="59"/>
    </row>
    <row r="72" spans="1:1" x14ac:dyDescent="0.25">
      <c r="A72" s="59"/>
    </row>
    <row r="73" spans="1:1" x14ac:dyDescent="0.25">
      <c r="A73" s="59"/>
    </row>
    <row r="74" spans="1:1" x14ac:dyDescent="0.25">
      <c r="A74" s="59"/>
    </row>
    <row r="75" spans="1:1" x14ac:dyDescent="0.25">
      <c r="A75" s="59"/>
    </row>
    <row r="76" spans="1:1" x14ac:dyDescent="0.25">
      <c r="A76" s="59"/>
    </row>
    <row r="77" spans="1:1" x14ac:dyDescent="0.25">
      <c r="A77" s="59"/>
    </row>
    <row r="78" spans="1:1" x14ac:dyDescent="0.25">
      <c r="A78" s="59"/>
    </row>
    <row r="79" spans="1:1" x14ac:dyDescent="0.25">
      <c r="A79" s="59"/>
    </row>
    <row r="80" spans="1:1" x14ac:dyDescent="0.25">
      <c r="A80" s="59"/>
    </row>
    <row r="81" spans="1:1" x14ac:dyDescent="0.25">
      <c r="A81" s="59"/>
    </row>
    <row r="82" spans="1:1" x14ac:dyDescent="0.25">
      <c r="A82" s="59"/>
    </row>
    <row r="83" spans="1:1" x14ac:dyDescent="0.25">
      <c r="A83" s="59"/>
    </row>
    <row r="84" spans="1:1" x14ac:dyDescent="0.25">
      <c r="A84" s="59"/>
    </row>
    <row r="85" spans="1:1" x14ac:dyDescent="0.25">
      <c r="A85" s="59"/>
    </row>
    <row r="86" spans="1:1" x14ac:dyDescent="0.25">
      <c r="A86" s="59"/>
    </row>
    <row r="87" spans="1:1" x14ac:dyDescent="0.25">
      <c r="A87" s="59"/>
    </row>
    <row r="88" spans="1:1" x14ac:dyDescent="0.25">
      <c r="A88" s="59"/>
    </row>
    <row r="89" spans="1:1" x14ac:dyDescent="0.25">
      <c r="A89" s="59"/>
    </row>
    <row r="90" spans="1:1" x14ac:dyDescent="0.25">
      <c r="A90" s="59"/>
    </row>
    <row r="91" spans="1:1" x14ac:dyDescent="0.25">
      <c r="A91" s="59"/>
    </row>
    <row r="92" spans="1:1" x14ac:dyDescent="0.25">
      <c r="A92" s="59"/>
    </row>
    <row r="93" spans="1:1" x14ac:dyDescent="0.25">
      <c r="A93" s="59"/>
    </row>
    <row r="94" spans="1:1" x14ac:dyDescent="0.25">
      <c r="A94" s="59"/>
    </row>
    <row r="95" spans="1:1" x14ac:dyDescent="0.25">
      <c r="A95" s="63" t="s">
        <v>264</v>
      </c>
    </row>
    <row r="96" spans="1:1" x14ac:dyDescent="0.25">
      <c r="A96" s="64" t="s">
        <v>265</v>
      </c>
    </row>
    <row r="97" spans="1:8" x14ac:dyDescent="0.25">
      <c r="A97" s="59"/>
      <c r="E97" s="65" t="s">
        <v>266</v>
      </c>
      <c r="F97" s="66">
        <f>SUM(_xlfn.ANCHORARRAY(F100))</f>
        <v>29000</v>
      </c>
      <c r="G97" s="66">
        <f>SUM(_xlfn.ANCHORARRAY(G100))</f>
        <v>29000</v>
      </c>
      <c r="H97" s="67" t="b">
        <f>F97=G97</f>
        <v>1</v>
      </c>
    </row>
    <row r="98" spans="1:8" x14ac:dyDescent="0.25">
      <c r="A98" s="59"/>
    </row>
    <row r="99" spans="1:8" x14ac:dyDescent="0.25">
      <c r="A99" s="62" t="s">
        <v>0</v>
      </c>
      <c r="B99" s="42" t="s">
        <v>18</v>
      </c>
      <c r="C99" s="42" t="s">
        <v>19</v>
      </c>
      <c r="D99" s="42" t="s">
        <v>20</v>
      </c>
      <c r="E99" s="42" t="s">
        <v>21</v>
      </c>
      <c r="F99" s="42" t="s">
        <v>22</v>
      </c>
      <c r="G99" s="42" t="s">
        <v>23</v>
      </c>
    </row>
    <row r="100" spans="1:8" x14ac:dyDescent="0.25">
      <c r="A100" s="59" cm="1">
        <f t="array" ref="A100:A115">_xlfn.VSTACK(_xlfn.ANCHORARRAY(A7),_xlfn.ANCHORARRAY(A51))</f>
        <v>45839</v>
      </c>
      <c r="B100" cm="1">
        <f t="array" ref="B100:B115">_xlfn.VSTACK(_xlfn.ANCHORARRAY(B7),_xlfn.ANCHORARRAY(B51))</f>
        <v>1034</v>
      </c>
      <c r="C100" cm="1">
        <f t="array" ref="C100:C115">_xlfn.VSTACK(_xlfn.ANCHORARRAY(C7),_xlfn.ANCHORARRAY(C51))</f>
        <v>14020</v>
      </c>
      <c r="D100" cm="1">
        <f t="array" ref="D100:D115">_xlfn.VSTACK(_xlfn.ANCHORARRAY(D7),_xlfn.ANCHORARRAY(D51))</f>
        <v>30910</v>
      </c>
      <c r="E100" t="str" cm="1">
        <f t="array" ref="E100:E115">_xlfn.VSTACK(_xlfn.ANCHORARRAY(E7),_xlfn.ANCHORARRAY(E51))</f>
        <v>Accrued Salary Cost</v>
      </c>
      <c r="F100" s="57" cm="1">
        <f t="array" ref="F100:F115">_xlfn.VSTACK(_xlfn.ANCHORARRAY(F7),_xlfn.ANCHORARRAY(F51))</f>
        <v>5000</v>
      </c>
      <c r="G100" s="57" cm="1">
        <f t="array" ref="G100:G115">_xlfn.VSTACK(_xlfn.ANCHORARRAY(G7),_xlfn.ANCHORARRAY(G51))</f>
        <v>0</v>
      </c>
    </row>
    <row r="101" spans="1:8" x14ac:dyDescent="0.25">
      <c r="A101" s="59">
        <v>45870</v>
      </c>
      <c r="B101">
        <v>1034</v>
      </c>
      <c r="C101">
        <v>14020</v>
      </c>
      <c r="D101">
        <v>30910</v>
      </c>
      <c r="E101" t="str">
        <v>Accrued Salary Cost</v>
      </c>
      <c r="F101">
        <v>3000</v>
      </c>
      <c r="G101">
        <v>0</v>
      </c>
    </row>
    <row r="102" spans="1:8" x14ac:dyDescent="0.25">
      <c r="A102" s="59">
        <v>45901</v>
      </c>
      <c r="B102">
        <v>1034</v>
      </c>
      <c r="C102">
        <v>14020</v>
      </c>
      <c r="D102">
        <v>30910</v>
      </c>
      <c r="E102" t="str">
        <v>Accrued Salary Cost</v>
      </c>
      <c r="F102">
        <v>7000</v>
      </c>
      <c r="G102">
        <v>0</v>
      </c>
    </row>
    <row r="103" spans="1:8" x14ac:dyDescent="0.25">
      <c r="A103" s="59">
        <v>45931</v>
      </c>
      <c r="B103">
        <v>1034</v>
      </c>
      <c r="C103">
        <v>14020</v>
      </c>
      <c r="D103">
        <v>20100</v>
      </c>
      <c r="E103" t="str">
        <v>Salary Overpayment Credit</v>
      </c>
      <c r="F103">
        <v>0</v>
      </c>
      <c r="G103">
        <v>2000</v>
      </c>
    </row>
    <row r="104" spans="1:8" x14ac:dyDescent="0.25">
      <c r="A104" s="59">
        <v>45839</v>
      </c>
      <c r="B104">
        <v>1020</v>
      </c>
      <c r="C104">
        <v>13010</v>
      </c>
      <c r="D104">
        <v>30910</v>
      </c>
      <c r="E104" t="str">
        <v>Accrued Salary Cost</v>
      </c>
      <c r="F104">
        <v>3000</v>
      </c>
      <c r="G104">
        <v>0</v>
      </c>
    </row>
    <row r="105" spans="1:8" x14ac:dyDescent="0.25">
      <c r="A105" s="59">
        <v>45870</v>
      </c>
      <c r="B105">
        <v>1020</v>
      </c>
      <c r="C105">
        <v>13010</v>
      </c>
      <c r="D105">
        <v>20100</v>
      </c>
      <c r="E105" t="str">
        <v>Salary Overpayment Credit</v>
      </c>
      <c r="F105">
        <v>0</v>
      </c>
      <c r="G105">
        <v>5000</v>
      </c>
    </row>
    <row r="106" spans="1:8" x14ac:dyDescent="0.25">
      <c r="A106" s="59">
        <v>45901</v>
      </c>
      <c r="B106">
        <v>1020</v>
      </c>
      <c r="C106">
        <v>13010</v>
      </c>
      <c r="D106">
        <v>20100</v>
      </c>
      <c r="E106" t="str">
        <v>Salary Overpayment Credit</v>
      </c>
      <c r="F106">
        <v>0</v>
      </c>
      <c r="G106">
        <v>3000</v>
      </c>
    </row>
    <row r="107" spans="1:8" x14ac:dyDescent="0.25">
      <c r="A107" s="59">
        <v>45931</v>
      </c>
      <c r="B107">
        <v>1020</v>
      </c>
      <c r="C107">
        <v>13010</v>
      </c>
      <c r="D107">
        <v>20100</v>
      </c>
      <c r="E107" t="str">
        <v>Salary Overpayment Credit</v>
      </c>
      <c r="F107">
        <v>0</v>
      </c>
      <c r="G107">
        <v>1000</v>
      </c>
    </row>
    <row r="108" spans="1:8" x14ac:dyDescent="0.25">
      <c r="A108" s="59">
        <v>45839</v>
      </c>
      <c r="B108">
        <v>1034</v>
      </c>
      <c r="C108">
        <v>14020</v>
      </c>
      <c r="D108">
        <v>40722</v>
      </c>
      <c r="E108" t="str">
        <v>Unpaid Salary Accrual</v>
      </c>
      <c r="F108">
        <v>0</v>
      </c>
      <c r="G108">
        <v>5000</v>
      </c>
    </row>
    <row r="109" spans="1:8" x14ac:dyDescent="0.25">
      <c r="A109" s="59">
        <v>45870</v>
      </c>
      <c r="B109">
        <v>1034</v>
      </c>
      <c r="C109">
        <v>14020</v>
      </c>
      <c r="D109">
        <v>40722</v>
      </c>
      <c r="E109" t="str">
        <v>Unpaid Salary Accrual</v>
      </c>
      <c r="F109">
        <v>0</v>
      </c>
      <c r="G109">
        <v>3000</v>
      </c>
    </row>
    <row r="110" spans="1:8" x14ac:dyDescent="0.25">
      <c r="A110" s="59">
        <v>45901</v>
      </c>
      <c r="B110">
        <v>1034</v>
      </c>
      <c r="C110">
        <v>14020</v>
      </c>
      <c r="D110">
        <v>40722</v>
      </c>
      <c r="E110" t="str">
        <v>Unpaid Salary Accrual</v>
      </c>
      <c r="F110">
        <v>0</v>
      </c>
      <c r="G110">
        <v>7000</v>
      </c>
    </row>
    <row r="111" spans="1:8" x14ac:dyDescent="0.25">
      <c r="A111" s="59">
        <v>45931</v>
      </c>
      <c r="B111">
        <v>1034</v>
      </c>
      <c r="C111">
        <v>14020</v>
      </c>
      <c r="D111">
        <v>50102</v>
      </c>
      <c r="E111" t="str">
        <v>Salary Overpayment Prepayment</v>
      </c>
      <c r="F111">
        <v>2000</v>
      </c>
      <c r="G111">
        <v>0</v>
      </c>
    </row>
    <row r="112" spans="1:8" x14ac:dyDescent="0.25">
      <c r="A112" s="59">
        <v>45839</v>
      </c>
      <c r="B112">
        <v>1020</v>
      </c>
      <c r="C112">
        <v>13010</v>
      </c>
      <c r="D112">
        <v>40722</v>
      </c>
      <c r="E112" t="str">
        <v>Unpaid Salary Accrual</v>
      </c>
      <c r="F112">
        <v>0</v>
      </c>
      <c r="G112">
        <v>3000</v>
      </c>
    </row>
    <row r="113" spans="1:7" x14ac:dyDescent="0.25">
      <c r="A113" s="59">
        <v>45870</v>
      </c>
      <c r="B113">
        <v>1020</v>
      </c>
      <c r="C113">
        <v>13010</v>
      </c>
      <c r="D113">
        <v>50102</v>
      </c>
      <c r="E113" t="str">
        <v>Salary Overpayment Prepayment</v>
      </c>
      <c r="F113">
        <v>5000</v>
      </c>
      <c r="G113">
        <v>0</v>
      </c>
    </row>
    <row r="114" spans="1:7" x14ac:dyDescent="0.25">
      <c r="A114" s="59">
        <v>45901</v>
      </c>
      <c r="B114">
        <v>1020</v>
      </c>
      <c r="C114">
        <v>13010</v>
      </c>
      <c r="D114">
        <v>50102</v>
      </c>
      <c r="E114" t="str">
        <v>Salary Overpayment Prepayment</v>
      </c>
      <c r="F114">
        <v>3000</v>
      </c>
      <c r="G114">
        <v>0</v>
      </c>
    </row>
    <row r="115" spans="1:7" x14ac:dyDescent="0.25">
      <c r="A115" s="59">
        <v>45931</v>
      </c>
      <c r="B115">
        <v>1020</v>
      </c>
      <c r="C115">
        <v>13010</v>
      </c>
      <c r="D115">
        <v>50102</v>
      </c>
      <c r="E115" t="str">
        <v>Salary Overpayment Prepayment</v>
      </c>
      <c r="F115">
        <v>1000</v>
      </c>
      <c r="G115">
        <v>0</v>
      </c>
    </row>
    <row r="116" spans="1:7" x14ac:dyDescent="0.25">
      <c r="A116" s="59"/>
    </row>
    <row r="117" spans="1:7" x14ac:dyDescent="0.25">
      <c r="A117" s="59"/>
    </row>
    <row r="118" spans="1:7" x14ac:dyDescent="0.25">
      <c r="A118" s="59"/>
    </row>
    <row r="119" spans="1:7" x14ac:dyDescent="0.25">
      <c r="A119" s="59"/>
    </row>
    <row r="120" spans="1:7" x14ac:dyDescent="0.25">
      <c r="A120" s="59"/>
    </row>
    <row r="121" spans="1:7" x14ac:dyDescent="0.25">
      <c r="A121" s="59"/>
    </row>
    <row r="122" spans="1:7" x14ac:dyDescent="0.25">
      <c r="A122" s="59"/>
    </row>
    <row r="123" spans="1:7" x14ac:dyDescent="0.25">
      <c r="A123" s="59"/>
    </row>
    <row r="124" spans="1:7" x14ac:dyDescent="0.25">
      <c r="A124" s="59"/>
    </row>
    <row r="125" spans="1:7" x14ac:dyDescent="0.25">
      <c r="A125" s="59"/>
    </row>
    <row r="126" spans="1:7" x14ac:dyDescent="0.25">
      <c r="A126" s="59"/>
    </row>
    <row r="127" spans="1:7" x14ac:dyDescent="0.25">
      <c r="A127" s="59"/>
    </row>
    <row r="128" spans="1:7" x14ac:dyDescent="0.25">
      <c r="A128" s="59"/>
    </row>
    <row r="129" spans="1:1" x14ac:dyDescent="0.25">
      <c r="A129" s="59"/>
    </row>
    <row r="130" spans="1:1" x14ac:dyDescent="0.25">
      <c r="A130" s="59"/>
    </row>
    <row r="131" spans="1:1" x14ac:dyDescent="0.25">
      <c r="A131" s="59"/>
    </row>
    <row r="132" spans="1:1" x14ac:dyDescent="0.25">
      <c r="A132" s="59"/>
    </row>
    <row r="133" spans="1:1" x14ac:dyDescent="0.25">
      <c r="A133" s="59"/>
    </row>
    <row r="134" spans="1:1" x14ac:dyDescent="0.25">
      <c r="A134" s="59"/>
    </row>
    <row r="135" spans="1:1" x14ac:dyDescent="0.25">
      <c r="A135" s="59"/>
    </row>
    <row r="136" spans="1:1" x14ac:dyDescent="0.25">
      <c r="A136" s="59"/>
    </row>
    <row r="137" spans="1:1" x14ac:dyDescent="0.25">
      <c r="A137" s="59"/>
    </row>
    <row r="138" spans="1:1" x14ac:dyDescent="0.25">
      <c r="A138" s="59"/>
    </row>
    <row r="139" spans="1:1" x14ac:dyDescent="0.25">
      <c r="A139" s="59"/>
    </row>
    <row r="140" spans="1:1" x14ac:dyDescent="0.25">
      <c r="A140" s="59"/>
    </row>
    <row r="141" spans="1:1" x14ac:dyDescent="0.25">
      <c r="A141" s="59"/>
    </row>
    <row r="142" spans="1:1" x14ac:dyDescent="0.25">
      <c r="A142" s="59"/>
    </row>
    <row r="143" spans="1:1" x14ac:dyDescent="0.25">
      <c r="A143" s="59"/>
    </row>
    <row r="144" spans="1:1" x14ac:dyDescent="0.25">
      <c r="A144" s="59"/>
    </row>
    <row r="145" spans="1:1" x14ac:dyDescent="0.25">
      <c r="A145" s="59"/>
    </row>
    <row r="146" spans="1:1" x14ac:dyDescent="0.25">
      <c r="A146" s="59"/>
    </row>
    <row r="147" spans="1:1" x14ac:dyDescent="0.25">
      <c r="A147" s="59"/>
    </row>
    <row r="148" spans="1:1" x14ac:dyDescent="0.25">
      <c r="A148" s="59"/>
    </row>
    <row r="149" spans="1:1" x14ac:dyDescent="0.25">
      <c r="A149" s="59"/>
    </row>
    <row r="150" spans="1:1" x14ac:dyDescent="0.25">
      <c r="A150" s="59"/>
    </row>
    <row r="151" spans="1:1" x14ac:dyDescent="0.25">
      <c r="A151" s="59"/>
    </row>
    <row r="152" spans="1:1" x14ac:dyDescent="0.25">
      <c r="A152" s="59"/>
    </row>
    <row r="153" spans="1:1" x14ac:dyDescent="0.25">
      <c r="A153" s="59"/>
    </row>
    <row r="154" spans="1:1" x14ac:dyDescent="0.25">
      <c r="A154" s="59"/>
    </row>
    <row r="155" spans="1:1" x14ac:dyDescent="0.25">
      <c r="A155" s="59"/>
    </row>
    <row r="156" spans="1:1" x14ac:dyDescent="0.25">
      <c r="A156" s="59"/>
    </row>
    <row r="157" spans="1:1" x14ac:dyDescent="0.25">
      <c r="A157" s="59"/>
    </row>
    <row r="158" spans="1:1" x14ac:dyDescent="0.25">
      <c r="A158" s="59"/>
    </row>
    <row r="159" spans="1:1" x14ac:dyDescent="0.25">
      <c r="A159" s="59"/>
    </row>
    <row r="160" spans="1:1" x14ac:dyDescent="0.25">
      <c r="A160" s="59"/>
    </row>
    <row r="161" spans="1:1" x14ac:dyDescent="0.25">
      <c r="A161" s="59"/>
    </row>
    <row r="162" spans="1:1" x14ac:dyDescent="0.25">
      <c r="A162" s="59"/>
    </row>
    <row r="163" spans="1:1" x14ac:dyDescent="0.25">
      <c r="A163" s="59"/>
    </row>
    <row r="164" spans="1:1" x14ac:dyDescent="0.25">
      <c r="A164" s="59"/>
    </row>
    <row r="165" spans="1:1" x14ac:dyDescent="0.25">
      <c r="A165" s="59"/>
    </row>
    <row r="166" spans="1:1" x14ac:dyDescent="0.25">
      <c r="A166" s="59"/>
    </row>
    <row r="167" spans="1:1" x14ac:dyDescent="0.25">
      <c r="A167" s="59"/>
    </row>
    <row r="168" spans="1:1" x14ac:dyDescent="0.25">
      <c r="A168" s="59"/>
    </row>
    <row r="169" spans="1:1" x14ac:dyDescent="0.25">
      <c r="A169" s="59"/>
    </row>
    <row r="170" spans="1:1" x14ac:dyDescent="0.25">
      <c r="A170" s="59"/>
    </row>
    <row r="171" spans="1:1" x14ac:dyDescent="0.25">
      <c r="A171" s="59"/>
    </row>
    <row r="172" spans="1:1" x14ac:dyDescent="0.25">
      <c r="A172" s="59"/>
    </row>
    <row r="173" spans="1:1" x14ac:dyDescent="0.25">
      <c r="A173" s="59"/>
    </row>
    <row r="174" spans="1:1" x14ac:dyDescent="0.25">
      <c r="A174" s="59"/>
    </row>
    <row r="175" spans="1:1" x14ac:dyDescent="0.25">
      <c r="A175" s="59"/>
    </row>
    <row r="176" spans="1:1" x14ac:dyDescent="0.25">
      <c r="A176" s="59"/>
    </row>
    <row r="177" spans="1:1" x14ac:dyDescent="0.25">
      <c r="A177" s="59"/>
    </row>
    <row r="178" spans="1:1" x14ac:dyDescent="0.25">
      <c r="A178" s="59"/>
    </row>
    <row r="179" spans="1:1" x14ac:dyDescent="0.25">
      <c r="A179" s="59"/>
    </row>
    <row r="180" spans="1:1" x14ac:dyDescent="0.25">
      <c r="A180" s="59"/>
    </row>
    <row r="181" spans="1:1" x14ac:dyDescent="0.25">
      <c r="A181" s="59"/>
    </row>
    <row r="182" spans="1:1" x14ac:dyDescent="0.25">
      <c r="A182" s="59"/>
    </row>
    <row r="183" spans="1:1" x14ac:dyDescent="0.25">
      <c r="A183" s="59"/>
    </row>
    <row r="184" spans="1:1" x14ac:dyDescent="0.25">
      <c r="A184" s="59"/>
    </row>
    <row r="185" spans="1:1" x14ac:dyDescent="0.25">
      <c r="A185" s="59"/>
    </row>
    <row r="186" spans="1:1" x14ac:dyDescent="0.25">
      <c r="A186" s="59"/>
    </row>
    <row r="187" spans="1:1" x14ac:dyDescent="0.25">
      <c r="A187" s="59"/>
    </row>
    <row r="188" spans="1:1" x14ac:dyDescent="0.25">
      <c r="A188" s="59"/>
    </row>
    <row r="189" spans="1:1" x14ac:dyDescent="0.25">
      <c r="A189" s="59"/>
    </row>
    <row r="190" spans="1:1" x14ac:dyDescent="0.25">
      <c r="A190" s="59"/>
    </row>
    <row r="191" spans="1:1" x14ac:dyDescent="0.25">
      <c r="A191" s="59"/>
    </row>
    <row r="192" spans="1:1" x14ac:dyDescent="0.25">
      <c r="A192" s="59"/>
    </row>
    <row r="193" spans="1:1" x14ac:dyDescent="0.25">
      <c r="A193" s="59"/>
    </row>
    <row r="194" spans="1:1" x14ac:dyDescent="0.25">
      <c r="A194" s="59"/>
    </row>
    <row r="195" spans="1:1" x14ac:dyDescent="0.25">
      <c r="A195" s="59"/>
    </row>
    <row r="196" spans="1:1" x14ac:dyDescent="0.25">
      <c r="A196" s="59"/>
    </row>
    <row r="197" spans="1:1" x14ac:dyDescent="0.25">
      <c r="A197" s="59"/>
    </row>
    <row r="198" spans="1:1" x14ac:dyDescent="0.25">
      <c r="A198" s="59"/>
    </row>
    <row r="199" spans="1:1" x14ac:dyDescent="0.25">
      <c r="A199" s="59"/>
    </row>
    <row r="200" spans="1:1" x14ac:dyDescent="0.25">
      <c r="A200" s="59"/>
    </row>
  </sheetData>
  <conditionalFormatting sqref="H97">
    <cfRule type="cellIs" dxfId="1" priority="1" operator="equal">
      <formula>TRUE</formula>
    </cfRule>
    <cfRule type="cellIs" dxfId="0" priority="2" operator="equal">
      <formula>FALSE</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C65A68A0-1977-4A65-AF9D-018A4FDD912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9</vt:i4>
      </vt:variant>
    </vt:vector>
  </HeadingPairs>
  <TitlesOfParts>
    <vt:vector size="9" baseType="lpstr">
      <vt:lpstr>Claude Log</vt:lpstr>
      <vt:lpstr>Implementation Plan</vt:lpstr>
      <vt:lpstr>General Ledger</vt:lpstr>
      <vt:lpstr>Bank Statement</vt:lpstr>
      <vt:lpstr>Staff List</vt:lpstr>
      <vt:lpstr>Calcs_Original</vt:lpstr>
      <vt:lpstr>Journal_Original</vt:lpstr>
      <vt:lpstr>Calcs</vt:lpstr>
      <vt:lpstr>Journal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Rishi Sapra</dc:creator>
  <cp:keywords/>
  <dc:description/>
  <cp:lastModifiedBy>Rishi Sapra</cp:lastModifiedBy>
  <cp:revision/>
  <dcterms:created xsi:type="dcterms:W3CDTF">2026-01-03T22:06:29Z</dcterms:created>
  <dcterms:modified xsi:type="dcterms:W3CDTF">2026-06-03T22:05:30Z</dcterms:modified>
  <cp:category/>
  <cp:contentStatus/>
</cp:coreProperties>
</file>